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8.12 MOEq/"/>
    </mc:Choice>
  </mc:AlternateContent>
  <xr:revisionPtr revIDLastSave="0" documentId="8_{1DD7C47B-13CF-4536-B027-5AA2D472DEA7}" xr6:coauthVersionLast="47" xr6:coauthVersionMax="47" xr10:uidLastSave="{00000000-0000-0000-0000-000000000000}"/>
  <bookViews>
    <workbookView xWindow="-110" yWindow="-110" windowWidth="19420" windowHeight="10420" firstSheet="8" activeTab="8" xr2:uid="{C6F552E8-835E-4AD9-81BB-D8377A2373BD}"/>
  </bookViews>
  <sheets>
    <sheet name="Questions" sheetId="4" r:id="rId1"/>
    <sheet name="#1" sheetId="7" r:id="rId2"/>
    <sheet name="#2" sheetId="5" r:id="rId3"/>
    <sheet name="#3" sheetId="10" r:id="rId4"/>
    <sheet name="#4" sheetId="1" r:id="rId5"/>
    <sheet name="#5" sheetId="11" r:id="rId6"/>
    <sheet name="#6" sheetId="8" r:id="rId7"/>
    <sheet name="#7" sheetId="6" r:id="rId8"/>
    <sheet name="#9" sheetId="9" r:id="rId9"/>
  </sheets>
  <definedNames>
    <definedName name="_xlnm._FilterDatabase" localSheetId="8" hidden="1">'#9'!$A$657:$E$950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1" l="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E756" i="9" l="1"/>
  <c r="E755" i="9"/>
  <c r="D756" i="9"/>
  <c r="D755" i="9"/>
  <c r="B756" i="9"/>
  <c r="B755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796" i="9"/>
  <c r="E795" i="9"/>
  <c r="E794" i="9"/>
  <c r="E793" i="9"/>
  <c r="E792" i="9"/>
  <c r="E791" i="9"/>
  <c r="E790" i="9"/>
  <c r="E789" i="9"/>
  <c r="E788" i="9"/>
  <c r="E787" i="9"/>
  <c r="E786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670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D517" i="9"/>
  <c r="E517" i="9"/>
  <c r="B950" i="9"/>
  <c r="B949" i="9"/>
  <c r="B948" i="9"/>
  <c r="B947" i="9"/>
  <c r="B946" i="9"/>
  <c r="B945" i="9"/>
  <c r="B944" i="9"/>
  <c r="B942" i="9"/>
  <c r="B943" i="9"/>
  <c r="B941" i="9"/>
  <c r="B940" i="9"/>
  <c r="B938" i="9"/>
  <c r="B939" i="9"/>
  <c r="B937" i="9"/>
  <c r="B927" i="9"/>
  <c r="B934" i="9"/>
  <c r="B933" i="9"/>
  <c r="B930" i="9"/>
  <c r="B932" i="9"/>
  <c r="B935" i="9"/>
  <c r="B931" i="9"/>
  <c r="B936" i="9"/>
  <c r="B929" i="9"/>
  <c r="B928" i="9"/>
  <c r="B926" i="9"/>
  <c r="B925" i="9"/>
  <c r="B924" i="9"/>
  <c r="B923" i="9"/>
  <c r="B921" i="9"/>
  <c r="B922" i="9"/>
  <c r="B920" i="9"/>
  <c r="B919" i="9"/>
  <c r="B918" i="9"/>
  <c r="B917" i="9"/>
  <c r="B916" i="9"/>
  <c r="B915" i="9"/>
  <c r="B914" i="9"/>
  <c r="B913" i="9"/>
  <c r="B912" i="9"/>
  <c r="B911" i="9"/>
  <c r="B910" i="9"/>
  <c r="B909" i="9"/>
  <c r="B908" i="9"/>
  <c r="B907" i="9"/>
  <c r="B906" i="9"/>
  <c r="B905" i="9"/>
  <c r="B902" i="9"/>
  <c r="B903" i="9"/>
  <c r="B904" i="9"/>
  <c r="B901" i="9"/>
  <c r="B894" i="9"/>
  <c r="B900" i="9"/>
  <c r="B895" i="9"/>
  <c r="B899" i="9"/>
  <c r="B898" i="9"/>
  <c r="B897" i="9"/>
  <c r="B896" i="9"/>
  <c r="B893" i="9"/>
  <c r="B890" i="9"/>
  <c r="B891" i="9"/>
  <c r="B892" i="9"/>
  <c r="B889" i="9"/>
  <c r="B888" i="9"/>
  <c r="B887" i="9"/>
  <c r="B886" i="9"/>
  <c r="B884" i="9"/>
  <c r="B885" i="9"/>
  <c r="B881" i="9"/>
  <c r="B883" i="9"/>
  <c r="B882" i="9"/>
  <c r="B880" i="9"/>
  <c r="E879" i="9"/>
  <c r="D879" i="9"/>
  <c r="B879" i="9"/>
  <c r="B877" i="9"/>
  <c r="B878" i="9"/>
  <c r="B876" i="9"/>
  <c r="B875" i="9"/>
  <c r="B874" i="9"/>
  <c r="B873" i="9"/>
  <c r="B870" i="9"/>
  <c r="B872" i="9"/>
  <c r="B871" i="9"/>
  <c r="B869" i="9"/>
  <c r="B868" i="9"/>
  <c r="B867" i="9"/>
  <c r="B866" i="9"/>
  <c r="B865" i="9"/>
  <c r="B863" i="9"/>
  <c r="B862" i="9"/>
  <c r="B864" i="9"/>
  <c r="B861" i="9"/>
  <c r="B858" i="9"/>
  <c r="B859" i="9"/>
  <c r="B860" i="9"/>
  <c r="B857" i="9"/>
  <c r="B855" i="9"/>
  <c r="B856" i="9"/>
  <c r="B854" i="9"/>
  <c r="B853" i="9"/>
  <c r="B849" i="9"/>
  <c r="B852" i="9"/>
  <c r="B851" i="9"/>
  <c r="B850" i="9"/>
  <c r="B848" i="9"/>
  <c r="B847" i="9"/>
  <c r="B845" i="9"/>
  <c r="B846" i="9"/>
  <c r="B844" i="9"/>
  <c r="B843" i="9"/>
  <c r="B842" i="9"/>
  <c r="B841" i="9"/>
  <c r="B840" i="9"/>
  <c r="B839" i="9"/>
  <c r="E838" i="9"/>
  <c r="D838" i="9"/>
  <c r="B838" i="9"/>
  <c r="E837" i="9"/>
  <c r="D837" i="9"/>
  <c r="B837" i="9"/>
  <c r="E836" i="9"/>
  <c r="D836" i="9"/>
  <c r="B836" i="9"/>
  <c r="E835" i="9"/>
  <c r="D835" i="9"/>
  <c r="B835" i="9"/>
  <c r="B834" i="9"/>
  <c r="B833" i="9"/>
  <c r="B832" i="9"/>
  <c r="B829" i="9"/>
  <c r="B831" i="9"/>
  <c r="B830" i="9"/>
  <c r="B826" i="9"/>
  <c r="B827" i="9"/>
  <c r="B828" i="9"/>
  <c r="B825" i="9"/>
  <c r="B824" i="9"/>
  <c r="B823" i="9"/>
  <c r="B822" i="9"/>
  <c r="B821" i="9"/>
  <c r="B819" i="9"/>
  <c r="B818" i="9"/>
  <c r="B817" i="9"/>
  <c r="B816" i="9"/>
  <c r="B813" i="9"/>
  <c r="B812" i="9"/>
  <c r="B815" i="9"/>
  <c r="B814" i="9"/>
  <c r="B807" i="9"/>
  <c r="B811" i="9"/>
  <c r="B810" i="9"/>
  <c r="B809" i="9"/>
  <c r="B820" i="9"/>
  <c r="B808" i="9"/>
  <c r="B806" i="9"/>
  <c r="B805" i="9"/>
  <c r="E804" i="9"/>
  <c r="D804" i="9"/>
  <c r="B804" i="9"/>
  <c r="E803" i="9"/>
  <c r="D803" i="9"/>
  <c r="B803" i="9"/>
  <c r="E802" i="9"/>
  <c r="D802" i="9"/>
  <c r="B802" i="9"/>
  <c r="E801" i="9"/>
  <c r="D801" i="9"/>
  <c r="B801" i="9"/>
  <c r="E800" i="9"/>
  <c r="D800" i="9"/>
  <c r="B800" i="9"/>
  <c r="E799" i="9"/>
  <c r="D799" i="9"/>
  <c r="B799" i="9"/>
  <c r="E798" i="9"/>
  <c r="D798" i="9"/>
  <c r="B798" i="9"/>
  <c r="E797" i="9"/>
  <c r="D797" i="9"/>
  <c r="B797" i="9"/>
  <c r="B796" i="9"/>
  <c r="B795" i="9"/>
  <c r="B794" i="9"/>
  <c r="B793" i="9"/>
  <c r="B790" i="9"/>
  <c r="B792" i="9"/>
  <c r="B791" i="9"/>
  <c r="B789" i="9"/>
  <c r="B788" i="9"/>
  <c r="B786" i="9"/>
  <c r="B787" i="9"/>
  <c r="B785" i="9"/>
  <c r="B784" i="9"/>
  <c r="B783" i="9"/>
  <c r="B782" i="9"/>
  <c r="B778" i="9"/>
  <c r="B781" i="9"/>
  <c r="B779" i="9"/>
  <c r="B780" i="9"/>
  <c r="B777" i="9"/>
  <c r="B776" i="9"/>
  <c r="B775" i="9"/>
  <c r="B774" i="9"/>
  <c r="B772" i="9"/>
  <c r="B773" i="9"/>
  <c r="B771" i="9"/>
  <c r="B770" i="9"/>
  <c r="B769" i="9"/>
  <c r="B768" i="9"/>
  <c r="B767" i="9"/>
  <c r="B766" i="9"/>
  <c r="B763" i="9"/>
  <c r="B765" i="9"/>
  <c r="B762" i="9"/>
  <c r="B764" i="9"/>
  <c r="B761" i="9"/>
  <c r="B760" i="9"/>
  <c r="B759" i="9"/>
  <c r="B758" i="9"/>
  <c r="B757" i="9"/>
  <c r="B753" i="9"/>
  <c r="B751" i="9"/>
  <c r="B750" i="9"/>
  <c r="B749" i="9"/>
  <c r="B748" i="9"/>
  <c r="B746" i="9"/>
  <c r="B747" i="9"/>
  <c r="B754" i="9"/>
  <c r="B745" i="9"/>
  <c r="B752" i="9"/>
  <c r="B744" i="9"/>
  <c r="B743" i="9"/>
  <c r="B742" i="9"/>
  <c r="B741" i="9"/>
  <c r="B740" i="9"/>
  <c r="B739" i="9"/>
  <c r="B738" i="9"/>
  <c r="B736" i="9"/>
  <c r="B737" i="9"/>
  <c r="B735" i="9"/>
  <c r="B734" i="9"/>
  <c r="B732" i="9"/>
  <c r="B733" i="9"/>
  <c r="B730" i="9"/>
  <c r="B731" i="9"/>
  <c r="B728" i="9"/>
  <c r="B729" i="9"/>
  <c r="B727" i="9"/>
  <c r="B726" i="9"/>
  <c r="B725" i="9"/>
  <c r="B724" i="9"/>
  <c r="B723" i="9"/>
  <c r="B722" i="9"/>
  <c r="B721" i="9"/>
  <c r="B720" i="9"/>
  <c r="B719" i="9"/>
  <c r="B718" i="9"/>
  <c r="B717" i="9"/>
  <c r="B716" i="9"/>
  <c r="B705" i="9"/>
  <c r="B714" i="9"/>
  <c r="B713" i="9"/>
  <c r="B709" i="9"/>
  <c r="B711" i="9"/>
  <c r="B710" i="9"/>
  <c r="B708" i="9"/>
  <c r="B712" i="9"/>
  <c r="B706" i="9"/>
  <c r="B704" i="9"/>
  <c r="B703" i="9"/>
  <c r="B702" i="9"/>
  <c r="B701" i="9"/>
  <c r="B707" i="9"/>
  <c r="B687" i="9"/>
  <c r="B700" i="9"/>
  <c r="B699" i="9"/>
  <c r="B698" i="9"/>
  <c r="B715" i="9"/>
  <c r="B697" i="9"/>
  <c r="B696" i="9"/>
  <c r="B693" i="9"/>
  <c r="B694" i="9"/>
  <c r="B695" i="9"/>
  <c r="B692" i="9"/>
  <c r="B691" i="9"/>
  <c r="B690" i="9"/>
  <c r="B689" i="9"/>
  <c r="B688" i="9"/>
  <c r="B683" i="9"/>
  <c r="B686" i="9"/>
  <c r="B685" i="9"/>
  <c r="B682" i="9"/>
  <c r="B684" i="9"/>
  <c r="B681" i="9"/>
  <c r="B680" i="9"/>
  <c r="B679" i="9"/>
  <c r="B678" i="9"/>
  <c r="B677" i="9"/>
  <c r="B674" i="9"/>
  <c r="B675" i="9"/>
  <c r="B673" i="9"/>
  <c r="B676" i="9"/>
  <c r="B672" i="9"/>
  <c r="E668" i="9"/>
  <c r="D668" i="9"/>
  <c r="B668" i="9"/>
  <c r="E669" i="9"/>
  <c r="D669" i="9"/>
  <c r="B669" i="9"/>
  <c r="B665" i="9"/>
  <c r="E667" i="9"/>
  <c r="D667" i="9"/>
  <c r="B667" i="9"/>
  <c r="B670" i="9"/>
  <c r="B666" i="9"/>
  <c r="E671" i="9"/>
  <c r="D671" i="9"/>
  <c r="B671" i="9"/>
  <c r="B664" i="9"/>
  <c r="B663" i="9"/>
  <c r="B661" i="9"/>
  <c r="B662" i="9"/>
  <c r="B659" i="9"/>
  <c r="B660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D216" i="9"/>
  <c r="B216" i="9"/>
  <c r="D217" i="9"/>
  <c r="B217" i="9"/>
  <c r="D215" i="9"/>
  <c r="B215" i="9"/>
  <c r="D214" i="9"/>
  <c r="B214" i="9"/>
  <c r="D213" i="9"/>
  <c r="B213" i="9"/>
  <c r="D212" i="9"/>
  <c r="B212" i="9"/>
  <c r="D211" i="9"/>
  <c r="B211" i="9"/>
  <c r="D210" i="9"/>
  <c r="B210" i="9"/>
  <c r="D209" i="9"/>
  <c r="B209" i="9"/>
  <c r="D208" i="9"/>
  <c r="B208" i="9"/>
  <c r="D207" i="9"/>
  <c r="B207" i="9"/>
  <c r="D206" i="9"/>
  <c r="B206" i="9"/>
  <c r="E203" i="9"/>
  <c r="D203" i="9"/>
  <c r="B203" i="9"/>
  <c r="E202" i="9"/>
  <c r="D202" i="9"/>
  <c r="B202" i="9"/>
  <c r="E201" i="9"/>
  <c r="D201" i="9"/>
  <c r="B201" i="9"/>
  <c r="E200" i="9"/>
  <c r="D200" i="9"/>
  <c r="B200" i="9"/>
  <c r="E199" i="9"/>
  <c r="D199" i="9"/>
  <c r="B199" i="9"/>
  <c r="E204" i="9"/>
  <c r="D204" i="9"/>
  <c r="B204" i="9"/>
  <c r="E205" i="9"/>
  <c r="D205" i="9"/>
  <c r="B205" i="9"/>
  <c r="E198" i="9"/>
  <c r="D198" i="9"/>
  <c r="B198" i="9"/>
  <c r="E197" i="9"/>
  <c r="D197" i="9"/>
  <c r="B197" i="9"/>
  <c r="E196" i="9"/>
  <c r="D196" i="9"/>
  <c r="B196" i="9"/>
  <c r="E195" i="9"/>
  <c r="D195" i="9"/>
  <c r="B195" i="9"/>
  <c r="E194" i="9"/>
  <c r="D194" i="9"/>
  <c r="B194" i="9"/>
  <c r="E193" i="9"/>
  <c r="D193" i="9"/>
  <c r="B193" i="9"/>
  <c r="E192" i="9"/>
  <c r="D192" i="9"/>
  <c r="B192" i="9"/>
  <c r="E191" i="9"/>
  <c r="D191" i="9"/>
  <c r="B191" i="9"/>
  <c r="E190" i="9"/>
  <c r="D190" i="9"/>
  <c r="B190" i="9"/>
  <c r="E188" i="9"/>
  <c r="D188" i="9"/>
  <c r="B188" i="9"/>
  <c r="E189" i="9"/>
  <c r="D189" i="9"/>
  <c r="B189" i="9"/>
  <c r="E187" i="9"/>
  <c r="D187" i="9"/>
  <c r="B187" i="9"/>
  <c r="E186" i="9"/>
  <c r="D186" i="9"/>
  <c r="B186" i="9"/>
  <c r="E183" i="9"/>
  <c r="D183" i="9"/>
  <c r="B183" i="9"/>
  <c r="E182" i="9"/>
  <c r="D182" i="9"/>
  <c r="B182" i="9"/>
  <c r="E181" i="9"/>
  <c r="D181" i="9"/>
  <c r="B181" i="9"/>
  <c r="E184" i="9"/>
  <c r="D184" i="9"/>
  <c r="B184" i="9"/>
  <c r="E180" i="9"/>
  <c r="D180" i="9"/>
  <c r="B180" i="9"/>
  <c r="E179" i="9"/>
  <c r="D179" i="9"/>
  <c r="B179" i="9"/>
  <c r="E178" i="9"/>
  <c r="D178" i="9"/>
  <c r="B178" i="9"/>
  <c r="E177" i="9"/>
  <c r="D177" i="9"/>
  <c r="B177" i="9"/>
  <c r="E176" i="9"/>
  <c r="D176" i="9"/>
  <c r="B176" i="9"/>
  <c r="E185" i="9"/>
  <c r="D185" i="9"/>
  <c r="B185" i="9"/>
  <c r="E175" i="9"/>
  <c r="D175" i="9"/>
  <c r="B175" i="9"/>
  <c r="E174" i="9"/>
  <c r="D174" i="9"/>
  <c r="B174" i="9"/>
  <c r="E173" i="9"/>
  <c r="D173" i="9"/>
  <c r="B173" i="9"/>
  <c r="E172" i="9"/>
  <c r="D172" i="9"/>
  <c r="B172" i="9"/>
  <c r="E171" i="9"/>
  <c r="D171" i="9"/>
  <c r="B171" i="9"/>
  <c r="E170" i="9"/>
  <c r="D170" i="9"/>
  <c r="B170" i="9"/>
  <c r="E169" i="9"/>
  <c r="D169" i="9"/>
  <c r="B169" i="9"/>
  <c r="E167" i="9"/>
  <c r="D167" i="9"/>
  <c r="B167" i="9"/>
  <c r="E168" i="9"/>
  <c r="D168" i="9"/>
  <c r="B168" i="9"/>
  <c r="E166" i="9"/>
  <c r="D166" i="9"/>
  <c r="B166" i="9"/>
  <c r="E165" i="9"/>
  <c r="D165" i="9"/>
  <c r="B165" i="9"/>
  <c r="E164" i="9"/>
  <c r="D164" i="9"/>
  <c r="B164" i="9"/>
  <c r="E163" i="9"/>
  <c r="D163" i="9"/>
  <c r="B163" i="9"/>
  <c r="E151" i="9"/>
  <c r="D151" i="9"/>
  <c r="B151" i="9"/>
  <c r="E162" i="9"/>
  <c r="D162" i="9"/>
  <c r="B162" i="9"/>
  <c r="E161" i="9"/>
  <c r="D161" i="9"/>
  <c r="B161" i="9"/>
  <c r="E158" i="9"/>
  <c r="D158" i="9"/>
  <c r="B158" i="9"/>
  <c r="E160" i="9"/>
  <c r="D160" i="9"/>
  <c r="B160" i="9"/>
  <c r="E159" i="9"/>
  <c r="D159" i="9"/>
  <c r="B159" i="9"/>
  <c r="E157" i="9"/>
  <c r="D157" i="9"/>
  <c r="B157" i="9"/>
  <c r="E156" i="9"/>
  <c r="D156" i="9"/>
  <c r="B156" i="9"/>
  <c r="E155" i="9"/>
  <c r="D155" i="9"/>
  <c r="B155" i="9"/>
  <c r="E154" i="9"/>
  <c r="D154" i="9"/>
  <c r="B154" i="9"/>
  <c r="E153" i="9"/>
  <c r="D153" i="9"/>
  <c r="B153" i="9"/>
  <c r="E152" i="9"/>
  <c r="D152" i="9"/>
  <c r="B152" i="9"/>
  <c r="E150" i="9"/>
  <c r="D150" i="9"/>
  <c r="B150" i="9"/>
  <c r="E149" i="9"/>
  <c r="D149" i="9"/>
  <c r="B149" i="9"/>
  <c r="E148" i="9"/>
  <c r="D148" i="9"/>
  <c r="B148" i="9"/>
  <c r="E147" i="9"/>
  <c r="D147" i="9"/>
  <c r="B147" i="9"/>
  <c r="E145" i="9"/>
  <c r="D145" i="9"/>
  <c r="B145" i="9"/>
  <c r="E146" i="9"/>
  <c r="D146" i="9"/>
  <c r="B146" i="9"/>
  <c r="E144" i="9"/>
  <c r="D144" i="9"/>
  <c r="B144" i="9"/>
  <c r="E142" i="9"/>
  <c r="D142" i="9"/>
  <c r="B142" i="9"/>
  <c r="E143" i="9"/>
  <c r="D143" i="9"/>
  <c r="B143" i="9"/>
  <c r="E141" i="9"/>
  <c r="D141" i="9"/>
  <c r="B141" i="9"/>
  <c r="E140" i="9"/>
  <c r="D140" i="9"/>
  <c r="B140" i="9"/>
  <c r="E139" i="9"/>
  <c r="D139" i="9"/>
  <c r="B139" i="9"/>
  <c r="E138" i="9"/>
  <c r="D138" i="9"/>
  <c r="B138" i="9"/>
  <c r="E137" i="9"/>
  <c r="D137" i="9"/>
  <c r="B137" i="9"/>
  <c r="E135" i="9"/>
  <c r="D135" i="9"/>
  <c r="B135" i="9"/>
  <c r="E136" i="9"/>
  <c r="D136" i="9"/>
  <c r="B136" i="9"/>
  <c r="E134" i="9"/>
  <c r="D134" i="9"/>
  <c r="B134" i="9"/>
  <c r="E133" i="9"/>
  <c r="D133" i="9"/>
  <c r="B133" i="9"/>
  <c r="E132" i="9"/>
  <c r="D132" i="9"/>
  <c r="B132" i="9"/>
  <c r="E131" i="9"/>
  <c r="D131" i="9"/>
  <c r="B131" i="9"/>
  <c r="E130" i="9"/>
  <c r="D130" i="9"/>
  <c r="B130" i="9"/>
  <c r="E129" i="9"/>
  <c r="D129" i="9"/>
  <c r="B129" i="9"/>
  <c r="E128" i="9"/>
  <c r="D128" i="9"/>
  <c r="B128" i="9"/>
  <c r="E127" i="9"/>
  <c r="D127" i="9"/>
  <c r="B127" i="9"/>
  <c r="E126" i="9"/>
  <c r="D126" i="9"/>
  <c r="B126" i="9"/>
  <c r="E125" i="9"/>
  <c r="D125" i="9"/>
  <c r="B125" i="9"/>
  <c r="E124" i="9"/>
  <c r="D124" i="9"/>
  <c r="B124" i="9"/>
  <c r="E123" i="9"/>
  <c r="D123" i="9"/>
  <c r="B123" i="9"/>
  <c r="E122" i="9"/>
  <c r="D122" i="9"/>
  <c r="B122" i="9"/>
  <c r="E121" i="9"/>
  <c r="D121" i="9"/>
  <c r="B121" i="9"/>
  <c r="E120" i="9"/>
  <c r="D120" i="9"/>
  <c r="B120" i="9"/>
  <c r="E119" i="9"/>
  <c r="D119" i="9"/>
  <c r="B119" i="9"/>
  <c r="E118" i="9"/>
  <c r="D118" i="9"/>
  <c r="B118" i="9"/>
  <c r="E117" i="9"/>
  <c r="D117" i="9"/>
  <c r="B117" i="9"/>
  <c r="E116" i="9"/>
  <c r="D116" i="9"/>
  <c r="B116" i="9"/>
  <c r="E115" i="9"/>
  <c r="D115" i="9"/>
  <c r="B115" i="9"/>
  <c r="E114" i="9"/>
  <c r="D114" i="9"/>
  <c r="B114" i="9"/>
  <c r="E113" i="9"/>
  <c r="D113" i="9"/>
  <c r="B113" i="9"/>
  <c r="E112" i="9"/>
  <c r="D112" i="9"/>
  <c r="B112" i="9"/>
  <c r="E111" i="9"/>
  <c r="D111" i="9"/>
  <c r="B111" i="9"/>
  <c r="E109" i="9"/>
  <c r="D109" i="9"/>
  <c r="B109" i="9"/>
  <c r="E110" i="9"/>
  <c r="D110" i="9"/>
  <c r="B110" i="9"/>
  <c r="E108" i="9"/>
  <c r="D108" i="9"/>
  <c r="B108" i="9"/>
  <c r="E107" i="9"/>
  <c r="D107" i="9"/>
  <c r="B107" i="9"/>
  <c r="E106" i="9"/>
  <c r="D106" i="9"/>
  <c r="B106" i="9"/>
  <c r="E105" i="9"/>
  <c r="D105" i="9"/>
  <c r="B105" i="9"/>
  <c r="E103" i="9"/>
  <c r="D103" i="9"/>
  <c r="B103" i="9"/>
  <c r="E104" i="9"/>
  <c r="D104" i="9"/>
  <c r="B104" i="9"/>
  <c r="E102" i="9"/>
  <c r="D102" i="9"/>
  <c r="B102" i="9"/>
  <c r="E101" i="9"/>
  <c r="D101" i="9"/>
  <c r="B101" i="9"/>
  <c r="E100" i="9"/>
  <c r="D100" i="9"/>
  <c r="B100" i="9"/>
  <c r="E98" i="9"/>
  <c r="D98" i="9"/>
  <c r="B98" i="9"/>
  <c r="E97" i="9"/>
  <c r="D97" i="9"/>
  <c r="B97" i="9"/>
  <c r="E99" i="9"/>
  <c r="D99" i="9"/>
  <c r="B99" i="9"/>
  <c r="E96" i="9"/>
  <c r="D96" i="9"/>
  <c r="B96" i="9"/>
  <c r="E95" i="9"/>
  <c r="D95" i="9"/>
  <c r="B95" i="9"/>
  <c r="E94" i="9"/>
  <c r="D94" i="9"/>
  <c r="B94" i="9"/>
  <c r="E93" i="9"/>
  <c r="D93" i="9"/>
  <c r="B93" i="9"/>
  <c r="E92" i="9"/>
  <c r="D92" i="9"/>
  <c r="B92" i="9"/>
  <c r="E91" i="9"/>
  <c r="D91" i="9"/>
  <c r="B91" i="9"/>
  <c r="E90" i="9"/>
  <c r="D90" i="9"/>
  <c r="B90" i="9"/>
  <c r="E89" i="9"/>
  <c r="D89" i="9"/>
  <c r="B89" i="9"/>
  <c r="E88" i="9"/>
  <c r="D88" i="9"/>
  <c r="B88" i="9"/>
  <c r="E87" i="9"/>
  <c r="D87" i="9"/>
  <c r="B87" i="9"/>
  <c r="E86" i="9"/>
  <c r="D86" i="9"/>
  <c r="B86" i="9"/>
  <c r="E85" i="9"/>
  <c r="D85" i="9"/>
  <c r="B85" i="9"/>
  <c r="E84" i="9"/>
  <c r="D84" i="9"/>
  <c r="B84" i="9"/>
  <c r="E81" i="9"/>
  <c r="D81" i="9"/>
  <c r="B81" i="9"/>
  <c r="E80" i="9"/>
  <c r="D80" i="9"/>
  <c r="B80" i="9"/>
  <c r="E79" i="9"/>
  <c r="D79" i="9"/>
  <c r="B79" i="9"/>
  <c r="E82" i="9"/>
  <c r="D82" i="9"/>
  <c r="B82" i="9"/>
  <c r="E78" i="9"/>
  <c r="D78" i="9"/>
  <c r="B78" i="9"/>
  <c r="E77" i="9"/>
  <c r="D77" i="9"/>
  <c r="B77" i="9"/>
  <c r="E76" i="9"/>
  <c r="D76" i="9"/>
  <c r="B76" i="9"/>
  <c r="E83" i="9"/>
  <c r="D83" i="9"/>
  <c r="B83" i="9"/>
  <c r="E75" i="9"/>
  <c r="D75" i="9"/>
  <c r="B75" i="9"/>
  <c r="E73" i="9"/>
  <c r="D73" i="9"/>
  <c r="B73" i="9"/>
  <c r="E74" i="9"/>
  <c r="D74" i="9"/>
  <c r="B74" i="9"/>
  <c r="E72" i="9"/>
  <c r="D72" i="9"/>
  <c r="B72" i="9"/>
  <c r="E71" i="9"/>
  <c r="D71" i="9"/>
  <c r="B71" i="9"/>
  <c r="E70" i="9"/>
  <c r="D70" i="9"/>
  <c r="B70" i="9"/>
  <c r="E69" i="9"/>
  <c r="D69" i="9"/>
  <c r="B69" i="9"/>
  <c r="E68" i="9"/>
  <c r="D68" i="9"/>
  <c r="B68" i="9"/>
  <c r="E67" i="9"/>
  <c r="D67" i="9"/>
  <c r="B67" i="9"/>
  <c r="E66" i="9"/>
  <c r="D66" i="9"/>
  <c r="B66" i="9"/>
  <c r="E64" i="9"/>
  <c r="D64" i="9"/>
  <c r="B64" i="9"/>
  <c r="E63" i="9"/>
  <c r="D63" i="9"/>
  <c r="B63" i="9"/>
  <c r="E61" i="9"/>
  <c r="D61" i="9"/>
  <c r="B61" i="9"/>
  <c r="E60" i="9"/>
  <c r="D60" i="9"/>
  <c r="B60" i="9"/>
  <c r="E62" i="9"/>
  <c r="D62" i="9"/>
  <c r="B62" i="9"/>
  <c r="E65" i="9"/>
  <c r="D65" i="9"/>
  <c r="B65" i="9"/>
  <c r="E58" i="9"/>
  <c r="D58" i="9"/>
  <c r="B58" i="9"/>
  <c r="E57" i="9"/>
  <c r="D57" i="9"/>
  <c r="B57" i="9"/>
  <c r="E59" i="9"/>
  <c r="D59" i="9"/>
  <c r="B59" i="9"/>
  <c r="E55" i="9"/>
  <c r="D55" i="9"/>
  <c r="B55" i="9"/>
  <c r="E56" i="9"/>
  <c r="D56" i="9"/>
  <c r="B56" i="9"/>
  <c r="E54" i="9"/>
  <c r="D54" i="9"/>
  <c r="B54" i="9"/>
  <c r="E52" i="9"/>
  <c r="D52" i="9"/>
  <c r="B52" i="9"/>
  <c r="E53" i="9"/>
  <c r="D53" i="9"/>
  <c r="B53" i="9"/>
  <c r="E51" i="9"/>
  <c r="D51" i="9"/>
  <c r="B51" i="9"/>
  <c r="E48" i="9"/>
  <c r="D48" i="9"/>
  <c r="B48" i="9"/>
  <c r="E50" i="9"/>
  <c r="D50" i="9"/>
  <c r="B50" i="9"/>
  <c r="E49" i="9"/>
  <c r="D49" i="9"/>
  <c r="B49" i="9"/>
  <c r="E46" i="9"/>
  <c r="D46" i="9"/>
  <c r="B46" i="9"/>
  <c r="E47" i="9"/>
  <c r="D47" i="9"/>
  <c r="B47" i="9"/>
  <c r="E45" i="9"/>
  <c r="D45" i="9"/>
  <c r="B45" i="9"/>
  <c r="E44" i="9"/>
  <c r="D44" i="9"/>
  <c r="B44" i="9"/>
  <c r="E43" i="9"/>
  <c r="D43" i="9"/>
  <c r="B43" i="9"/>
  <c r="E42" i="9"/>
  <c r="D42" i="9"/>
  <c r="B42" i="9"/>
  <c r="E41" i="9"/>
  <c r="D41" i="9"/>
  <c r="B41" i="9"/>
  <c r="E40" i="9"/>
  <c r="D40" i="9"/>
  <c r="B40" i="9"/>
  <c r="E39" i="9"/>
  <c r="D39" i="9"/>
  <c r="B39" i="9"/>
  <c r="E38" i="9"/>
  <c r="D38" i="9"/>
  <c r="B38" i="9"/>
  <c r="E37" i="9"/>
  <c r="D37" i="9"/>
  <c r="B37" i="9"/>
  <c r="E36" i="9"/>
  <c r="D36" i="9"/>
  <c r="B36" i="9"/>
  <c r="E35" i="9"/>
  <c r="D35" i="9"/>
  <c r="B35" i="9"/>
  <c r="E34" i="9"/>
  <c r="D34" i="9"/>
  <c r="B34" i="9"/>
  <c r="E33" i="9"/>
  <c r="D33" i="9"/>
  <c r="B33" i="9"/>
  <c r="E13" i="9"/>
  <c r="D13" i="9"/>
  <c r="B13" i="9"/>
  <c r="E32" i="9"/>
  <c r="D32" i="9"/>
  <c r="B32" i="9"/>
  <c r="E31" i="9"/>
  <c r="D31" i="9"/>
  <c r="B31" i="9"/>
  <c r="E30" i="9"/>
  <c r="D30" i="9"/>
  <c r="B30" i="9"/>
  <c r="E28" i="9"/>
  <c r="D28" i="9"/>
  <c r="B28" i="9"/>
  <c r="E27" i="9"/>
  <c r="D27" i="9"/>
  <c r="B27" i="9"/>
  <c r="E26" i="9"/>
  <c r="D26" i="9"/>
  <c r="B26" i="9"/>
  <c r="E25" i="9"/>
  <c r="D25" i="9"/>
  <c r="B25" i="9"/>
  <c r="E24" i="9"/>
  <c r="D24" i="9"/>
  <c r="B24" i="9"/>
  <c r="E23" i="9"/>
  <c r="D23" i="9"/>
  <c r="B23" i="9"/>
  <c r="E22" i="9"/>
  <c r="D22" i="9"/>
  <c r="B22" i="9"/>
  <c r="E29" i="9"/>
  <c r="D29" i="9"/>
  <c r="B29" i="9"/>
  <c r="E20" i="9"/>
  <c r="D20" i="9"/>
  <c r="B20" i="9"/>
  <c r="E19" i="9"/>
  <c r="D19" i="9"/>
  <c r="B19" i="9"/>
  <c r="E21" i="9"/>
  <c r="D21" i="9"/>
  <c r="B21" i="9"/>
  <c r="E18" i="9"/>
  <c r="D18" i="9"/>
  <c r="B18" i="9"/>
  <c r="E17" i="9"/>
  <c r="D17" i="9"/>
  <c r="B17" i="9"/>
  <c r="E16" i="9"/>
  <c r="D16" i="9"/>
  <c r="B16" i="9"/>
  <c r="E15" i="9"/>
  <c r="D15" i="9"/>
  <c r="B15" i="9"/>
  <c r="E12" i="9"/>
  <c r="D12" i="9"/>
  <c r="B12" i="9"/>
  <c r="E14" i="9"/>
  <c r="D14" i="9"/>
  <c r="B14" i="9"/>
  <c r="E11" i="9"/>
  <c r="D11" i="9"/>
  <c r="B11" i="9"/>
  <c r="E10" i="9"/>
  <c r="D10" i="9"/>
  <c r="B10" i="9"/>
  <c r="E9" i="9"/>
  <c r="D9" i="9"/>
  <c r="B9" i="9"/>
  <c r="E8" i="9"/>
  <c r="D8" i="9"/>
  <c r="B8" i="9"/>
  <c r="E7" i="9"/>
  <c r="D7" i="9"/>
  <c r="B7" i="9"/>
  <c r="E6" i="9"/>
  <c r="D6" i="9"/>
  <c r="B6" i="9"/>
  <c r="E5" i="9"/>
  <c r="D5" i="9"/>
  <c r="B5" i="9"/>
  <c r="E4" i="9"/>
  <c r="D4" i="9"/>
  <c r="B4" i="9"/>
  <c r="E3" i="9"/>
  <c r="D3" i="9"/>
  <c r="B3" i="9"/>
  <c r="E2" i="9"/>
  <c r="D2" i="9"/>
  <c r="B2" i="9"/>
  <c r="D145" i="5"/>
  <c r="C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85" i="1"/>
  <c r="C85" i="1"/>
  <c r="D146" i="5" l="1"/>
  <c r="D86" i="1"/>
</calcChain>
</file>

<file path=xl/sharedStrings.xml><?xml version="1.0" encoding="utf-8"?>
<sst xmlns="http://schemas.openxmlformats.org/spreadsheetml/2006/main" count="3892" uniqueCount="1966">
  <si>
    <t>2. The statewide per-pupil amount of State funds provised to all LEAs in the State in FY 2021.</t>
  </si>
  <si>
    <t>$5,499.55 (This is only the Foundation Program allocation for FY 2021. Fiscal Year ends 9/30/2021.)</t>
  </si>
  <si>
    <t>4. The per-pupil amount of State funds provided to each high-need LEA in the State in FY 2021.</t>
  </si>
  <si>
    <t>7. The per-pupil amount of State funding provided for each highest-poverty LEA in FY 2019.</t>
  </si>
  <si>
    <t>High-Need LEAs</t>
  </si>
  <si>
    <t>NCES Number</t>
  </si>
  <si>
    <t>System Name</t>
  </si>
  <si>
    <t>0101980</t>
  </si>
  <si>
    <t>Lanett City</t>
  </si>
  <si>
    <t>0100204</t>
  </si>
  <si>
    <t>i3 Academy</t>
  </si>
  <si>
    <t>0103150</t>
  </si>
  <si>
    <t>Talladega City</t>
  </si>
  <si>
    <t>0100510</t>
  </si>
  <si>
    <t>Butler County</t>
  </si>
  <si>
    <t>0103510</t>
  </si>
  <si>
    <t>Wilcox County</t>
  </si>
  <si>
    <t>0102250</t>
  </si>
  <si>
    <t>Marengo County</t>
  </si>
  <si>
    <t>0100201</t>
  </si>
  <si>
    <t>Legacy Prep</t>
  </si>
  <si>
    <t>0102970</t>
  </si>
  <si>
    <t>Selma City</t>
  </si>
  <si>
    <t>0100840</t>
  </si>
  <si>
    <t>Colbert County</t>
  </si>
  <si>
    <t>0102730</t>
  </si>
  <si>
    <t>Pickens County</t>
  </si>
  <si>
    <t>0102160</t>
  </si>
  <si>
    <t>Lowndes County</t>
  </si>
  <si>
    <t>0102350</t>
  </si>
  <si>
    <t>Midfield City</t>
  </si>
  <si>
    <t>0101230</t>
  </si>
  <si>
    <t>Dothan City</t>
  </si>
  <si>
    <t>0101620</t>
  </si>
  <si>
    <t>Gadsden City</t>
  </si>
  <si>
    <t>0103180</t>
  </si>
  <si>
    <t>Talladega County</t>
  </si>
  <si>
    <t>0101440</t>
  </si>
  <si>
    <t>Fairfield City</t>
  </si>
  <si>
    <t>0100203</t>
  </si>
  <si>
    <t>LEAD Academy</t>
  </si>
  <si>
    <t>0102670</t>
  </si>
  <si>
    <t>Perry County</t>
  </si>
  <si>
    <t>0101710</t>
  </si>
  <si>
    <t>Hale County</t>
  </si>
  <si>
    <t>0102820</t>
  </si>
  <si>
    <t>Randolph County</t>
  </si>
  <si>
    <t>0100090</t>
  </si>
  <si>
    <t>Anniston City</t>
  </si>
  <si>
    <t>0102910</t>
  </si>
  <si>
    <t>Russellville City</t>
  </si>
  <si>
    <t>0101080</t>
  </si>
  <si>
    <t>Daleville City</t>
  </si>
  <si>
    <t>0102700</t>
  </si>
  <si>
    <t>Phenix City</t>
  </si>
  <si>
    <t>0101110</t>
  </si>
  <si>
    <t>Dallas County</t>
  </si>
  <si>
    <t>0102580</t>
  </si>
  <si>
    <t>Opelika City</t>
  </si>
  <si>
    <t>0103090</t>
  </si>
  <si>
    <t>Sumter County</t>
  </si>
  <si>
    <t>0100300</t>
  </si>
  <si>
    <t>Barbour County</t>
  </si>
  <si>
    <t>0102640</t>
  </si>
  <si>
    <t>Ozark City</t>
  </si>
  <si>
    <t>0100480</t>
  </si>
  <si>
    <t>Bullock County</t>
  </si>
  <si>
    <t>0103300</t>
  </si>
  <si>
    <t>Thomasville City</t>
  </si>
  <si>
    <t>0100660</t>
  </si>
  <si>
    <t>Chilton County</t>
  </si>
  <si>
    <t>0100180</t>
  </si>
  <si>
    <t>Attalla City</t>
  </si>
  <si>
    <t>0100012</t>
  </si>
  <si>
    <t>Boaz City</t>
  </si>
  <si>
    <t>0101680</t>
  </si>
  <si>
    <t>Greene County</t>
  </si>
  <si>
    <t>0100330</t>
  </si>
  <si>
    <t>Bessemer City</t>
  </si>
  <si>
    <t>0103330</t>
  </si>
  <si>
    <t>Troy City</t>
  </si>
  <si>
    <t>0102130</t>
  </si>
  <si>
    <t>Linden City</t>
  </si>
  <si>
    <t>0100750</t>
  </si>
  <si>
    <t>Clay County</t>
  </si>
  <si>
    <t>0101660</t>
  </si>
  <si>
    <t>Geneva County</t>
  </si>
  <si>
    <t>0101920</t>
  </si>
  <si>
    <t>Jefferson County</t>
  </si>
  <si>
    <t>0100030</t>
  </si>
  <si>
    <t>Alexander City</t>
  </si>
  <si>
    <t>0103210</t>
  </si>
  <si>
    <t>Tallapoosa County</t>
  </si>
  <si>
    <t>0100390</t>
  </si>
  <si>
    <t>Birmingham City</t>
  </si>
  <si>
    <t>0100188</t>
  </si>
  <si>
    <t>Chickasaw City</t>
  </si>
  <si>
    <t>0102760</t>
  </si>
  <si>
    <t>Piedmont City</t>
  </si>
  <si>
    <t>0101560</t>
  </si>
  <si>
    <t>Fort Payne City</t>
  </si>
  <si>
    <t>0100630</t>
  </si>
  <si>
    <t>Cherokee County</t>
  </si>
  <si>
    <t>0101470</t>
  </si>
  <si>
    <t>Fayette County</t>
  </si>
  <si>
    <t>0102190</t>
  </si>
  <si>
    <t>Macon County</t>
  </si>
  <si>
    <t>0100540</t>
  </si>
  <si>
    <t>Calhoun County</t>
  </si>
  <si>
    <t>0100360</t>
  </si>
  <si>
    <t>Bibb County</t>
  </si>
  <si>
    <t>0100006</t>
  </si>
  <si>
    <t>Marshall County</t>
  </si>
  <si>
    <t>0103450</t>
  </si>
  <si>
    <t>Walker County</t>
  </si>
  <si>
    <t>0101950</t>
  </si>
  <si>
    <t>Lamar County</t>
  </si>
  <si>
    <t>0101260</t>
  </si>
  <si>
    <t>Elba City</t>
  </si>
  <si>
    <t>0100930</t>
  </si>
  <si>
    <t>Covington County</t>
  </si>
  <si>
    <t>0103480</t>
  </si>
  <si>
    <t>Washington County</t>
  </si>
  <si>
    <t>0101720</t>
  </si>
  <si>
    <t>Haleyville City</t>
  </si>
  <si>
    <t>0101050</t>
  </si>
  <si>
    <t>Dale County</t>
  </si>
  <si>
    <t>0101020</t>
  </si>
  <si>
    <t>Cullman County</t>
  </si>
  <si>
    <t>0100197</t>
  </si>
  <si>
    <t>Acceleration Day and Evening Academy</t>
  </si>
  <si>
    <t>0102610</t>
  </si>
  <si>
    <t>Opp City</t>
  </si>
  <si>
    <t>0100690</t>
  </si>
  <si>
    <t>Choctaw County</t>
  </si>
  <si>
    <t>0101140</t>
  </si>
  <si>
    <t>DeKalb County</t>
  </si>
  <si>
    <t>0100810</t>
  </si>
  <si>
    <t>Coffee County</t>
  </si>
  <si>
    <t>0101170</t>
  </si>
  <si>
    <t>Decatur City</t>
  </si>
  <si>
    <t>0101200</t>
  </si>
  <si>
    <t>Demopolis City</t>
  </si>
  <si>
    <t>0100780</t>
  </si>
  <si>
    <t>Cleburne County</t>
  </si>
  <si>
    <t>0102400</t>
  </si>
  <si>
    <t>Monroe County</t>
  </si>
  <si>
    <t>0101590</t>
  </si>
  <si>
    <t>Franklin County</t>
  </si>
  <si>
    <t>0100060</t>
  </si>
  <si>
    <t>Andalusia City</t>
  </si>
  <si>
    <t>0102430</t>
  </si>
  <si>
    <t>Montgomery County</t>
  </si>
  <si>
    <t>0103120</t>
  </si>
  <si>
    <t>Sylacauga City</t>
  </si>
  <si>
    <t>0100420</t>
  </si>
  <si>
    <t>Blount County</t>
  </si>
  <si>
    <t>0103240</t>
  </si>
  <si>
    <t>Tallassee City</t>
  </si>
  <si>
    <t>0102635</t>
  </si>
  <si>
    <t>Oxford City</t>
  </si>
  <si>
    <t>0103420</t>
  </si>
  <si>
    <t>Tuscumbia City</t>
  </si>
  <si>
    <t>0102310</t>
  </si>
  <si>
    <t>Marion County</t>
  </si>
  <si>
    <t>0103580</t>
  </si>
  <si>
    <t>Winston County</t>
  </si>
  <si>
    <t>0102790</t>
  </si>
  <si>
    <t>Pike County</t>
  </si>
  <si>
    <t>0103390</t>
  </si>
  <si>
    <t>Tuscaloosa County</t>
  </si>
  <si>
    <t>0100199</t>
  </si>
  <si>
    <t>University Charter School</t>
  </si>
  <si>
    <t>0102880</t>
  </si>
  <si>
    <t>Russell County</t>
  </si>
  <si>
    <t>0102070</t>
  </si>
  <si>
    <t>Lee County</t>
  </si>
  <si>
    <t>0102480</t>
  </si>
  <si>
    <t>Morgan County</t>
  </si>
  <si>
    <t>0101770</t>
  </si>
  <si>
    <t>Houston County</t>
  </si>
  <si>
    <t>0103000</t>
  </si>
  <si>
    <t>Sheffield City</t>
  </si>
  <si>
    <t>0102370</t>
  </si>
  <si>
    <t>Mobile County</t>
  </si>
  <si>
    <t>FY 2021 ADM</t>
  </si>
  <si>
    <t>FY 2021 Foundation Allocation</t>
  </si>
  <si>
    <t>PPE</t>
  </si>
  <si>
    <t>0100240</t>
  </si>
  <si>
    <t>Autauga County</t>
  </si>
  <si>
    <t>0100270</t>
  </si>
  <si>
    <t>Baldwin County</t>
  </si>
  <si>
    <t>0100600</t>
  </si>
  <si>
    <t>Chambers County</t>
  </si>
  <si>
    <t>0100720</t>
  </si>
  <si>
    <t>Clarke County</t>
  </si>
  <si>
    <t>0100870</t>
  </si>
  <si>
    <t>Conecuh County</t>
  </si>
  <si>
    <t>0100900</t>
  </si>
  <si>
    <t>Coosa County</t>
  </si>
  <si>
    <t>0100960</t>
  </si>
  <si>
    <t>Crenshaw County</t>
  </si>
  <si>
    <t>0101290</t>
  </si>
  <si>
    <t>Elmore County</t>
  </si>
  <si>
    <t>0101350</t>
  </si>
  <si>
    <t>Escambia County</t>
  </si>
  <si>
    <t>0101380</t>
  </si>
  <si>
    <t>Etowah County</t>
  </si>
  <si>
    <t>0101740</t>
  </si>
  <si>
    <t>Henry County</t>
  </si>
  <si>
    <t>0101830</t>
  </si>
  <si>
    <t>Jackson County</t>
  </si>
  <si>
    <t>0102010</t>
  </si>
  <si>
    <t>Lauderdale County</t>
  </si>
  <si>
    <t>0102040</t>
  </si>
  <si>
    <t>Lawrence County</t>
  </si>
  <si>
    <t>0102100</t>
  </si>
  <si>
    <t>Limestone County</t>
  </si>
  <si>
    <t>0102220</t>
  </si>
  <si>
    <t>Madison County</t>
  </si>
  <si>
    <t>0103062</t>
  </si>
  <si>
    <t>Saint Clair County</t>
  </si>
  <si>
    <t>0103030</t>
  </si>
  <si>
    <t>Shelby County</t>
  </si>
  <si>
    <t>0100005</t>
  </si>
  <si>
    <t>Albertville City</t>
  </si>
  <si>
    <t>0100190</t>
  </si>
  <si>
    <t>Alabaster City</t>
  </si>
  <si>
    <t>0100100</t>
  </si>
  <si>
    <t>Arab City</t>
  </si>
  <si>
    <t>0100120</t>
  </si>
  <si>
    <t>Athens City</t>
  </si>
  <si>
    <t>0100210</t>
  </si>
  <si>
    <t>Auburn City</t>
  </si>
  <si>
    <t>0100450</t>
  </si>
  <si>
    <t>Brewton City</t>
  </si>
  <si>
    <t>0100990</t>
  </si>
  <si>
    <t>Cullman City</t>
  </si>
  <si>
    <t>0101320</t>
  </si>
  <si>
    <t>Enterprise City</t>
  </si>
  <si>
    <t>0101410</t>
  </si>
  <si>
    <t>Eufaula City</t>
  </si>
  <si>
    <t>0101530</t>
  </si>
  <si>
    <t>Florence City</t>
  </si>
  <si>
    <t>0101640</t>
  </si>
  <si>
    <t>Geneva City</t>
  </si>
  <si>
    <t>0100202</t>
  </si>
  <si>
    <t>Gulf Shores City</t>
  </si>
  <si>
    <t>0101690</t>
  </si>
  <si>
    <t>Guntersville City</t>
  </si>
  <si>
    <t>0101730</t>
  </si>
  <si>
    <t>Hartselle City</t>
  </si>
  <si>
    <t>0101760</t>
  </si>
  <si>
    <t>Homewood City</t>
  </si>
  <si>
    <t>0100007</t>
  </si>
  <si>
    <t>Hoover City</t>
  </si>
  <si>
    <t>0101800</t>
  </si>
  <si>
    <t>Huntsville City</t>
  </si>
  <si>
    <t>0101860</t>
  </si>
  <si>
    <t>Jacksonville City</t>
  </si>
  <si>
    <t>0101890</t>
  </si>
  <si>
    <t>Jasper City</t>
  </si>
  <si>
    <t>0100011</t>
  </si>
  <si>
    <t>Leeds City</t>
  </si>
  <si>
    <t>0100008</t>
  </si>
  <si>
    <t>Madison City</t>
  </si>
  <si>
    <t>0102490</t>
  </si>
  <si>
    <t>Mountain Brook City</t>
  </si>
  <si>
    <t>0102520</t>
  </si>
  <si>
    <t>Muscle Shoals City</t>
  </si>
  <si>
    <t>0100194</t>
  </si>
  <si>
    <t>Pelham City</t>
  </si>
  <si>
    <t>0102550</t>
  </si>
  <si>
    <t>Oneonta City</t>
  </si>
  <si>
    <t>0102650</t>
  </si>
  <si>
    <t>Pell City</t>
  </si>
  <si>
    <t>0100195</t>
  </si>
  <si>
    <t>Pike Road City</t>
  </si>
  <si>
    <t>0100185</t>
  </si>
  <si>
    <t>Saraland City</t>
  </si>
  <si>
    <t>0102850</t>
  </si>
  <si>
    <t>Roanoke City</t>
  </si>
  <si>
    <t>0102940</t>
  </si>
  <si>
    <t>Scottsboro City</t>
  </si>
  <si>
    <t>0100189</t>
  </si>
  <si>
    <t>Satsuma City</t>
  </si>
  <si>
    <t>0103270</t>
  </si>
  <si>
    <t>Tarrant City</t>
  </si>
  <si>
    <t>0103360</t>
  </si>
  <si>
    <t>Tuscaloosa City</t>
  </si>
  <si>
    <t>0103430</t>
  </si>
  <si>
    <t>Vestavia Hills City</t>
  </si>
  <si>
    <t>0103540</t>
  </si>
  <si>
    <t>Winfield City</t>
  </si>
  <si>
    <t>0100013</t>
  </si>
  <si>
    <t>Trussville City</t>
  </si>
  <si>
    <t>Accel Academy</t>
  </si>
  <si>
    <t>Lead Academy</t>
  </si>
  <si>
    <t>I3 Academy</t>
  </si>
  <si>
    <t>Total</t>
  </si>
  <si>
    <t>Per Pupil</t>
  </si>
  <si>
    <t>BudgetYear</t>
  </si>
  <si>
    <t>SysCode</t>
  </si>
  <si>
    <t>SiteLongName</t>
  </si>
  <si>
    <t>FY 2022 ADM</t>
  </si>
  <si>
    <t>FY 2022 Foundation Allocation</t>
  </si>
  <si>
    <t>St Clair County</t>
  </si>
  <si>
    <t>LIFE Academy</t>
  </si>
  <si>
    <t>Breakthrough Charter School</t>
  </si>
  <si>
    <t>Magic City Acceptance Academy</t>
  </si>
  <si>
    <t>Highest poverty LEAs</t>
  </si>
  <si>
    <t xml:space="preserve">FY 2019 State Fund Expenditures </t>
  </si>
  <si>
    <t>FY 2019 ADM</t>
  </si>
  <si>
    <t>University Charter</t>
  </si>
  <si>
    <t>NCES  Number</t>
  </si>
  <si>
    <t>NCES School Number</t>
  </si>
  <si>
    <t>School Name</t>
  </si>
  <si>
    <t>Schoolwide/
Targeted Assistance</t>
  </si>
  <si>
    <t>010024001408</t>
  </si>
  <si>
    <t>010024000045</t>
  </si>
  <si>
    <t>010024000543</t>
  </si>
  <si>
    <t>010024000047</t>
  </si>
  <si>
    <t>010024000050</t>
  </si>
  <si>
    <t>010024001639</t>
  </si>
  <si>
    <t>010024000051</t>
  </si>
  <si>
    <t>010027001708</t>
  </si>
  <si>
    <t>010027001859</t>
  </si>
  <si>
    <t>010027000162</t>
  </si>
  <si>
    <t>010027000013</t>
  </si>
  <si>
    <t>010027000056</t>
  </si>
  <si>
    <t>010027001709</t>
  </si>
  <si>
    <t>010027001783</t>
  </si>
  <si>
    <t>010027000625</t>
  </si>
  <si>
    <t>010027002490</t>
  </si>
  <si>
    <t>010027000058</t>
  </si>
  <si>
    <t>010027001712</t>
  </si>
  <si>
    <t>010027000060</t>
  </si>
  <si>
    <t>010027001713</t>
  </si>
  <si>
    <t>010027001714</t>
  </si>
  <si>
    <t>010027000648</t>
  </si>
  <si>
    <t>010027000062</t>
  </si>
  <si>
    <t>010027001715</t>
  </si>
  <si>
    <t>010027001716</t>
  </si>
  <si>
    <t>010027000065</t>
  </si>
  <si>
    <t>010027000066</t>
  </si>
  <si>
    <t>010027000660</t>
  </si>
  <si>
    <t>010027000068</t>
  </si>
  <si>
    <t>010027000069</t>
  </si>
  <si>
    <t>010027000070</t>
  </si>
  <si>
    <t>010030000074</t>
  </si>
  <si>
    <t>010030001641</t>
  </si>
  <si>
    <t>010030001478</t>
  </si>
  <si>
    <t>010036000092</t>
  </si>
  <si>
    <t>010036000095</t>
  </si>
  <si>
    <t>010036000094</t>
  </si>
  <si>
    <t>010036000096</t>
  </si>
  <si>
    <t>010036000098</t>
  </si>
  <si>
    <t>010036000099</t>
  </si>
  <si>
    <t>010036001426</t>
  </si>
  <si>
    <t>010036001480</t>
  </si>
  <si>
    <t>010042000203</t>
  </si>
  <si>
    <t>010042000205</t>
  </si>
  <si>
    <t>010042000206</t>
  </si>
  <si>
    <t>010042001476</t>
  </si>
  <si>
    <t>010042000207</t>
  </si>
  <si>
    <t>010042000101</t>
  </si>
  <si>
    <t>010042001870</t>
  </si>
  <si>
    <t>010042000209</t>
  </si>
  <si>
    <t>010042000210</t>
  </si>
  <si>
    <t>010042001427</t>
  </si>
  <si>
    <t>010042000211</t>
  </si>
  <si>
    <t>010042000213</t>
  </si>
  <si>
    <t>010042001481</t>
  </si>
  <si>
    <t>010048000221</t>
  </si>
  <si>
    <t>010048000222</t>
  </si>
  <si>
    <t>010048000218</t>
  </si>
  <si>
    <t>010051000226</t>
  </si>
  <si>
    <t>010051000228</t>
  </si>
  <si>
    <t>010051001482</t>
  </si>
  <si>
    <t>010051000229</t>
  </si>
  <si>
    <t>010051000231</t>
  </si>
  <si>
    <t>010051002144</t>
  </si>
  <si>
    <t>010054001747</t>
  </si>
  <si>
    <t>010054001428</t>
  </si>
  <si>
    <t>010054001429</t>
  </si>
  <si>
    <t>010054000242</t>
  </si>
  <si>
    <t>010054000243</t>
  </si>
  <si>
    <t>010054000244</t>
  </si>
  <si>
    <t>010054000246</t>
  </si>
  <si>
    <t>010054001489</t>
  </si>
  <si>
    <t>010054000249</t>
  </si>
  <si>
    <t>010054001430</t>
  </si>
  <si>
    <t>010060000257</t>
  </si>
  <si>
    <t>010060000259</t>
  </si>
  <si>
    <t>010060000260</t>
  </si>
  <si>
    <t>010060000256</t>
  </si>
  <si>
    <t>010060000263</t>
  </si>
  <si>
    <t>010060000264</t>
  </si>
  <si>
    <t>010060000269</t>
  </si>
  <si>
    <t>010060000268</t>
  </si>
  <si>
    <t>010063000274</t>
  </si>
  <si>
    <t>010063000275</t>
  </si>
  <si>
    <t>010063000276</t>
  </si>
  <si>
    <t>010063000278</t>
  </si>
  <si>
    <t>010063000279</t>
  </si>
  <si>
    <t>010063000282</t>
  </si>
  <si>
    <t>010063000283</t>
  </si>
  <si>
    <t>010066001491</t>
  </si>
  <si>
    <t>010066000286</t>
  </si>
  <si>
    <t>010066001431</t>
  </si>
  <si>
    <t>010066000287</t>
  </si>
  <si>
    <t>010066000261</t>
  </si>
  <si>
    <t>010066001657</t>
  </si>
  <si>
    <t>010066002437</t>
  </si>
  <si>
    <t>010066000745</t>
  </si>
  <si>
    <t>010066000262</t>
  </si>
  <si>
    <t>010066000265</t>
  </si>
  <si>
    <t>010066000270</t>
  </si>
  <si>
    <t>010066000288</t>
  </si>
  <si>
    <t>010069000291</t>
  </si>
  <si>
    <t>010069001561</t>
  </si>
  <si>
    <t>010069000182</t>
  </si>
  <si>
    <t>010069000297</t>
  </si>
  <si>
    <t>010072000298</t>
  </si>
  <si>
    <t>010072000302</t>
  </si>
  <si>
    <t>010072000304</t>
  </si>
  <si>
    <t>010072001450</t>
  </si>
  <si>
    <t>010072000305</t>
  </si>
  <si>
    <t>010072000306</t>
  </si>
  <si>
    <t>010075000307</t>
  </si>
  <si>
    <t>010075000312</t>
  </si>
  <si>
    <t>010078000317</t>
  </si>
  <si>
    <t>010078001671</t>
  </si>
  <si>
    <t>010078000319</t>
  </si>
  <si>
    <t>010078000320</t>
  </si>
  <si>
    <t>010078001726</t>
  </si>
  <si>
    <t>010078000321</t>
  </si>
  <si>
    <t>010081000323</t>
  </si>
  <si>
    <t>010081001748</t>
  </si>
  <si>
    <t>010081001494</t>
  </si>
  <si>
    <t>010081000327</t>
  </si>
  <si>
    <t>010084000331</t>
  </si>
  <si>
    <t>010084000333</t>
  </si>
  <si>
    <t>010084001658</t>
  </si>
  <si>
    <t>010084000336</t>
  </si>
  <si>
    <t>010084000338</t>
  </si>
  <si>
    <t>010084000341</t>
  </si>
  <si>
    <t>010087000344</t>
  </si>
  <si>
    <t>010087000345</t>
  </si>
  <si>
    <t>010087001766</t>
  </si>
  <si>
    <t>010087000347</t>
  </si>
  <si>
    <t>010087000348</t>
  </si>
  <si>
    <t>010087000350</t>
  </si>
  <si>
    <t>010090002074</t>
  </si>
  <si>
    <t>010090001749</t>
  </si>
  <si>
    <t>010093000359</t>
  </si>
  <si>
    <t>010093000360</t>
  </si>
  <si>
    <t>010093000361</t>
  </si>
  <si>
    <t>010093000362</t>
  </si>
  <si>
    <t>010093002167</t>
  </si>
  <si>
    <t>010093000280</t>
  </si>
  <si>
    <t>010093001672</t>
  </si>
  <si>
    <t>010093000363</t>
  </si>
  <si>
    <t>010093000364</t>
  </si>
  <si>
    <t>010096000365</t>
  </si>
  <si>
    <t>010096000367</t>
  </si>
  <si>
    <t>010096000368</t>
  </si>
  <si>
    <t>010102000373</t>
  </si>
  <si>
    <t>010102000375</t>
  </si>
  <si>
    <t>010102000396</t>
  </si>
  <si>
    <t>010102000400</t>
  </si>
  <si>
    <t>010102000403</t>
  </si>
  <si>
    <t>010102000413</t>
  </si>
  <si>
    <t>010102001444</t>
  </si>
  <si>
    <t>010102001676</t>
  </si>
  <si>
    <t>010102000414</t>
  </si>
  <si>
    <t>010102000420</t>
  </si>
  <si>
    <t>010102000440</t>
  </si>
  <si>
    <t>010102002132</t>
  </si>
  <si>
    <t>010102000446</t>
  </si>
  <si>
    <t>010102000453</t>
  </si>
  <si>
    <t>010102000386</t>
  </si>
  <si>
    <t>010102000458</t>
  </si>
  <si>
    <t>010102000459</t>
  </si>
  <si>
    <t>010102001679</t>
  </si>
  <si>
    <t>010105000388</t>
  </si>
  <si>
    <t>010105000389</t>
  </si>
  <si>
    <t>010105000281</t>
  </si>
  <si>
    <t>010105000391</t>
  </si>
  <si>
    <t>010105000392</t>
  </si>
  <si>
    <t>010105000393</t>
  </si>
  <si>
    <t>010111000395</t>
  </si>
  <si>
    <t>010111000397</t>
  </si>
  <si>
    <t>010111000401</t>
  </si>
  <si>
    <t>010111000402</t>
  </si>
  <si>
    <t>010111000404</t>
  </si>
  <si>
    <t>010111000406</t>
  </si>
  <si>
    <t>010111000408</t>
  </si>
  <si>
    <t>010111000409</t>
  </si>
  <si>
    <t>010111000814</t>
  </si>
  <si>
    <t>010111000407</t>
  </si>
  <si>
    <t>010111001785</t>
  </si>
  <si>
    <t>010114000411</t>
  </si>
  <si>
    <t>010114000412</t>
  </si>
  <si>
    <t>010114002357</t>
  </si>
  <si>
    <t>010114001860</t>
  </si>
  <si>
    <t>010114000415</t>
  </si>
  <si>
    <t>010114000416</t>
  </si>
  <si>
    <t>010114000418</t>
  </si>
  <si>
    <t>010114000419</t>
  </si>
  <si>
    <t>010114000421</t>
  </si>
  <si>
    <t>010114000422</t>
  </si>
  <si>
    <t>010114000423</t>
  </si>
  <si>
    <t>010114000424</t>
  </si>
  <si>
    <t>010114000425</t>
  </si>
  <si>
    <t>010129001768</t>
  </si>
  <si>
    <t>010129001432</t>
  </si>
  <si>
    <t>010129001769</t>
  </si>
  <si>
    <t>010129001451</t>
  </si>
  <si>
    <t>010129001660</t>
  </si>
  <si>
    <t>010129000833</t>
  </si>
  <si>
    <t>010129002147</t>
  </si>
  <si>
    <t>010129000470</t>
  </si>
  <si>
    <t>010129000102</t>
  </si>
  <si>
    <t>010135000484</t>
  </si>
  <si>
    <t>010135000485</t>
  </si>
  <si>
    <t>010135001504</t>
  </si>
  <si>
    <t>010135000487</t>
  </si>
  <si>
    <t>010135000488</t>
  </si>
  <si>
    <t>010135000489</t>
  </si>
  <si>
    <t>010135001661</t>
  </si>
  <si>
    <t>010135001505</t>
  </si>
  <si>
    <t>010135001506</t>
  </si>
  <si>
    <t>010135000492</t>
  </si>
  <si>
    <t>010138000493</t>
  </si>
  <si>
    <t>Carlisle Elementary School</t>
  </si>
  <si>
    <t>010138000494</t>
  </si>
  <si>
    <t>Duck Springs Elementary School</t>
  </si>
  <si>
    <t>010138000496</t>
  </si>
  <si>
    <t>Gaston High School</t>
  </si>
  <si>
    <t>010138002453</t>
  </si>
  <si>
    <t>Gaston Elementary School</t>
  </si>
  <si>
    <t>010138000497</t>
  </si>
  <si>
    <t>Glencoe Elementary School</t>
  </si>
  <si>
    <t>010138001507</t>
  </si>
  <si>
    <t>Glencoe Middle School</t>
  </si>
  <si>
    <t>010138000500</t>
  </si>
  <si>
    <t>Hokes Bluff Middle School</t>
  </si>
  <si>
    <t>010138000499</t>
  </si>
  <si>
    <t>Hokes Bluff Elementary School</t>
  </si>
  <si>
    <t>010138000501</t>
  </si>
  <si>
    <t>Ivalee Elementary School</t>
  </si>
  <si>
    <t>010138000502</t>
  </si>
  <si>
    <t>John S Jones Elementary School</t>
  </si>
  <si>
    <t>010138000503</t>
  </si>
  <si>
    <t>Highland Elementary School</t>
  </si>
  <si>
    <t>010138000505</t>
  </si>
  <si>
    <t>Sardis High School</t>
  </si>
  <si>
    <t>010138002351</t>
  </si>
  <si>
    <t>Sardis Middle School</t>
  </si>
  <si>
    <t>010138000508</t>
  </si>
  <si>
    <t>West End Elementary School</t>
  </si>
  <si>
    <t>010138000507</t>
  </si>
  <si>
    <t>West End High School</t>
  </si>
  <si>
    <t>010138000509</t>
  </si>
  <si>
    <t>Whitesboro Elementary School</t>
  </si>
  <si>
    <t>010147001512</t>
  </si>
  <si>
    <t>Berry Elementary School</t>
  </si>
  <si>
    <t>010147000521</t>
  </si>
  <si>
    <t>Berry High School</t>
  </si>
  <si>
    <t>010147001787</t>
  </si>
  <si>
    <t>Fayette County High School</t>
  </si>
  <si>
    <t>010147000523</t>
  </si>
  <si>
    <t>Fayette Middle School</t>
  </si>
  <si>
    <t>010147000525</t>
  </si>
  <si>
    <t>Hubbertville School</t>
  </si>
  <si>
    <t>010147001514</t>
  </si>
  <si>
    <t>Fayette Elementary School</t>
  </si>
  <si>
    <t>010159000541</t>
  </si>
  <si>
    <t>Belgreen High School</t>
  </si>
  <si>
    <t>010159000542</t>
  </si>
  <si>
    <t>East Franklin Junior High School</t>
  </si>
  <si>
    <t>010159000544</t>
  </si>
  <si>
    <t>Phil Campbell High School</t>
  </si>
  <si>
    <t>010159001861</t>
  </si>
  <si>
    <t>Phil Campbell Elementary School</t>
  </si>
  <si>
    <t>010159002475</t>
  </si>
  <si>
    <t>Red Bay Elementary</t>
  </si>
  <si>
    <t>010159000547</t>
  </si>
  <si>
    <t>Tharptown Elementary School</t>
  </si>
  <si>
    <t>010159001869</t>
  </si>
  <si>
    <t>Tharptown High School</t>
  </si>
  <si>
    <t>010159000548</t>
  </si>
  <si>
    <t>Vina High School</t>
  </si>
  <si>
    <t>010166001791</t>
  </si>
  <si>
    <t>Geneva County Elementary School</t>
  </si>
  <si>
    <t>010166001792</t>
  </si>
  <si>
    <t>Geneva County Middle School</t>
  </si>
  <si>
    <t>010166001771</t>
  </si>
  <si>
    <t>Samson Elementary School</t>
  </si>
  <si>
    <t>010166001772</t>
  </si>
  <si>
    <t>Samson Middle School</t>
  </si>
  <si>
    <t>010166001793</t>
  </si>
  <si>
    <t>Slocomb Elementary School</t>
  </si>
  <si>
    <t>010166001794</t>
  </si>
  <si>
    <t>Slocomb Middle School</t>
  </si>
  <si>
    <t>010168001452</t>
  </si>
  <si>
    <t>Eutaw Primary School</t>
  </si>
  <si>
    <t>010168000576</t>
  </si>
  <si>
    <t>Greene County High School</t>
  </si>
  <si>
    <t>010168001520</t>
  </si>
  <si>
    <t>Robert Brown Middle School</t>
  </si>
  <si>
    <t>010171002158</t>
  </si>
  <si>
    <t>Greensboro Elementary School</t>
  </si>
  <si>
    <t>010171002156</t>
  </si>
  <si>
    <t>Greensboro Middle School</t>
  </si>
  <si>
    <t>010171002162</t>
  </si>
  <si>
    <t>Greensboro High School</t>
  </si>
  <si>
    <t>010171000588</t>
  </si>
  <si>
    <t>Hale County High School</t>
  </si>
  <si>
    <t>010171002411</t>
  </si>
  <si>
    <t>Hale County Middle School</t>
  </si>
  <si>
    <t>010171000589</t>
  </si>
  <si>
    <t>Moundville Elementary School</t>
  </si>
  <si>
    <t>010174000602</t>
  </si>
  <si>
    <t>Abbeville Elementary School</t>
  </si>
  <si>
    <t>010174000600</t>
  </si>
  <si>
    <t>Abbeville High School</t>
  </si>
  <si>
    <t>010174000603</t>
  </si>
  <si>
    <t>Headland Elementary School</t>
  </si>
  <si>
    <t>010174000605</t>
  </si>
  <si>
    <t>Headland Middle School</t>
  </si>
  <si>
    <t>010177001668</t>
  </si>
  <si>
    <t>Ashford Elementary School</t>
  </si>
  <si>
    <t>010177000612</t>
  </si>
  <si>
    <t>Cottonwood High School</t>
  </si>
  <si>
    <t>010177002078</t>
  </si>
  <si>
    <t>Rehobeth Elementary School</t>
  </si>
  <si>
    <t>010177000616</t>
  </si>
  <si>
    <t>Webb Elementary School</t>
  </si>
  <si>
    <t>010183000655</t>
  </si>
  <si>
    <t>Bridgeport Middle School</t>
  </si>
  <si>
    <t>010183000654</t>
  </si>
  <si>
    <t>Bridgeport Elementary School</t>
  </si>
  <si>
    <t>010183000656</t>
  </si>
  <si>
    <t>Bryant School</t>
  </si>
  <si>
    <t>010183000657</t>
  </si>
  <si>
    <t>Dutton Elementary School</t>
  </si>
  <si>
    <t>010183000658</t>
  </si>
  <si>
    <t>Flat Rock School</t>
  </si>
  <si>
    <t>010183000659</t>
  </si>
  <si>
    <t>Hollywood Elementary School</t>
  </si>
  <si>
    <t>010183001674</t>
  </si>
  <si>
    <t>Macedonia School</t>
  </si>
  <si>
    <t>010183001751</t>
  </si>
  <si>
    <t>North Jackson High School</t>
  </si>
  <si>
    <t>010183000662</t>
  </si>
  <si>
    <t>North Sand Mountain School</t>
  </si>
  <si>
    <t>010183001532</t>
  </si>
  <si>
    <t>Pisgah High School</t>
  </si>
  <si>
    <t>010183000666</t>
  </si>
  <si>
    <t>Rosalie Elementary School</t>
  </si>
  <si>
    <t>010183000667</t>
  </si>
  <si>
    <t>Section High School</t>
  </si>
  <si>
    <t>010183000668</t>
  </si>
  <si>
    <t>Skyline High School</t>
  </si>
  <si>
    <t>010183001533</t>
  </si>
  <si>
    <t>Stevenson Elementary School</t>
  </si>
  <si>
    <t>010183001534</t>
  </si>
  <si>
    <t>Stevenson Middle School</t>
  </si>
  <si>
    <t>010183000671</t>
  </si>
  <si>
    <t>Woodville High School</t>
  </si>
  <si>
    <t>010192000681</t>
  </si>
  <si>
    <t>Adamsville Elementary School</t>
  </si>
  <si>
    <t>010192000687</t>
  </si>
  <si>
    <t>Minor Middle School</t>
  </si>
  <si>
    <t>010192000691</t>
  </si>
  <si>
    <t>Brighton School</t>
  </si>
  <si>
    <t>010192000692</t>
  </si>
  <si>
    <t>Brookville Elementary School</t>
  </si>
  <si>
    <t>010192002495</t>
  </si>
  <si>
    <t>Bryant Park Elementary</t>
  </si>
  <si>
    <t>010192000694</t>
  </si>
  <si>
    <t>Center Point Elementary School</t>
  </si>
  <si>
    <t>010192000695</t>
  </si>
  <si>
    <t>Chalkville Elementary School</t>
  </si>
  <si>
    <t>010192000472</t>
  </si>
  <si>
    <t>Clay-Chalkville Middle School</t>
  </si>
  <si>
    <t>010192000699</t>
  </si>
  <si>
    <t>Crumly Chapel Elementary School</t>
  </si>
  <si>
    <t>010192000701</t>
  </si>
  <si>
    <t>Erwin Intermediate School</t>
  </si>
  <si>
    <t>010192002182</t>
  </si>
  <si>
    <t>Erwin Middle School</t>
  </si>
  <si>
    <t>010192000702</t>
  </si>
  <si>
    <t>Center Point High School</t>
  </si>
  <si>
    <t>010192000703</t>
  </si>
  <si>
    <t>Fultondale Elementary School</t>
  </si>
  <si>
    <t>010192000715</t>
  </si>
  <si>
    <t>Hillview Elementary School</t>
  </si>
  <si>
    <t>010192000716</t>
  </si>
  <si>
    <t>Hueytown Intermediate School</t>
  </si>
  <si>
    <t>010192000718</t>
  </si>
  <si>
    <t>Irondale Community School</t>
  </si>
  <si>
    <t>010192002117</t>
  </si>
  <si>
    <t>Irondale Middle School</t>
  </si>
  <si>
    <t>010192001542</t>
  </si>
  <si>
    <t>Kermit Johnson School</t>
  </si>
  <si>
    <t>010192000724</t>
  </si>
  <si>
    <t>Lipscomb Elementary School</t>
  </si>
  <si>
    <t>010192000727</t>
  </si>
  <si>
    <t>Minor Community School</t>
  </si>
  <si>
    <t>010192001752</t>
  </si>
  <si>
    <t>Minor High School</t>
  </si>
  <si>
    <t>010192000730</t>
  </si>
  <si>
    <t>Hueytown Primary School</t>
  </si>
  <si>
    <t>010192000733</t>
  </si>
  <si>
    <t>Pinson Elementary School</t>
  </si>
  <si>
    <t>010192000735</t>
  </si>
  <si>
    <t>Hueytown Middle School</t>
  </si>
  <si>
    <t>010192000736</t>
  </si>
  <si>
    <t>Pleasant Grove Elementary School</t>
  </si>
  <si>
    <t>010192001543</t>
  </si>
  <si>
    <t>Rudd Middle School</t>
  </si>
  <si>
    <t>010192001539</t>
  </si>
  <si>
    <t>Grantswood Community School</t>
  </si>
  <si>
    <t>010192000749</t>
  </si>
  <si>
    <t>Warrior Elementary School</t>
  </si>
  <si>
    <t>010192000750</t>
  </si>
  <si>
    <t>West Jefferson Elementary School</t>
  </si>
  <si>
    <t>010195001720</t>
  </si>
  <si>
    <t>South Lamar School</t>
  </si>
  <si>
    <t>010195000756</t>
  </si>
  <si>
    <t>Sulligent School</t>
  </si>
  <si>
    <t>010195000757</t>
  </si>
  <si>
    <t>Vernon Elementary School</t>
  </si>
  <si>
    <t>010195001511</t>
  </si>
  <si>
    <t>Lamar County High-Intermediate</t>
  </si>
  <si>
    <t>010201001545</t>
  </si>
  <si>
    <t>Brooks Elementary School</t>
  </si>
  <si>
    <t>010201000765</t>
  </si>
  <si>
    <t>Central High School</t>
  </si>
  <si>
    <t>010201000767</t>
  </si>
  <si>
    <t>Lauderdale County High School</t>
  </si>
  <si>
    <t>010201000770</t>
  </si>
  <si>
    <t>Lexington School</t>
  </si>
  <si>
    <t>010201000772</t>
  </si>
  <si>
    <t>Rogers High School</t>
  </si>
  <si>
    <t>010201000773</t>
  </si>
  <si>
    <t>Underwood Elementary School</t>
  </si>
  <si>
    <t>010201000774</t>
  </si>
  <si>
    <t>Waterloo High School</t>
  </si>
  <si>
    <t>010201000775</t>
  </si>
  <si>
    <t>Wilson High School</t>
  </si>
  <si>
    <t>010204001546</t>
  </si>
  <si>
    <t>East Lawrence High School</t>
  </si>
  <si>
    <t>010204001410</t>
  </si>
  <si>
    <t>East Lawrence Elementary School</t>
  </si>
  <si>
    <t>010204000776</t>
  </si>
  <si>
    <t>R A Hubbard High School</t>
  </si>
  <si>
    <t>010204000778</t>
  </si>
  <si>
    <t>East Lawrence Middle School</t>
  </si>
  <si>
    <t>010204000779</t>
  </si>
  <si>
    <t>Hatton Elementary School</t>
  </si>
  <si>
    <t>010204000780</t>
  </si>
  <si>
    <t>Hatton High School</t>
  </si>
  <si>
    <t>010204000781</t>
  </si>
  <si>
    <t>Hazlewood Elementary School</t>
  </si>
  <si>
    <t>010204000783</t>
  </si>
  <si>
    <t>Lawrence County High School</t>
  </si>
  <si>
    <t>010204000785</t>
  </si>
  <si>
    <t>Moulton Elementary School</t>
  </si>
  <si>
    <t>010204000786</t>
  </si>
  <si>
    <t>Moulton Middle School</t>
  </si>
  <si>
    <t>010204000787</t>
  </si>
  <si>
    <t>Mount Hope</t>
  </si>
  <si>
    <t>010204000788</t>
  </si>
  <si>
    <t>Speake</t>
  </si>
  <si>
    <t>010207000284</t>
  </si>
  <si>
    <t>Beauregard Elementary School</t>
  </si>
  <si>
    <t>010207000285</t>
  </si>
  <si>
    <t>Beulah Elementary School</t>
  </si>
  <si>
    <t>010207000792</t>
  </si>
  <si>
    <t>Loachapoka High School</t>
  </si>
  <si>
    <t>010207000290</t>
  </si>
  <si>
    <t>Loachapoka Elementary School</t>
  </si>
  <si>
    <t>010207000793</t>
  </si>
  <si>
    <t>Sanford Middle School</t>
  </si>
  <si>
    <t>010207000794</t>
  </si>
  <si>
    <t>West Smiths Station Elementary School</t>
  </si>
  <si>
    <t>010207000486</t>
  </si>
  <si>
    <t>East Smiths Station Elementary School</t>
  </si>
  <si>
    <t>010207000296</t>
  </si>
  <si>
    <t>South Smiths Station Elementary School</t>
  </si>
  <si>
    <t>010207002188</t>
  </si>
  <si>
    <t>Wacoochee Elementary School</t>
  </si>
  <si>
    <t>010210002164</t>
  </si>
  <si>
    <t>Blue Springs Elementary School</t>
  </si>
  <si>
    <t>010210002081</t>
  </si>
  <si>
    <t>Cedar Hill Elementary School</t>
  </si>
  <si>
    <t>010210000799</t>
  </si>
  <si>
    <t>Clements High School</t>
  </si>
  <si>
    <t>010210000802</t>
  </si>
  <si>
    <t>Johnson Elementary School</t>
  </si>
  <si>
    <t>010210001549</t>
  </si>
  <si>
    <t>Elkmont High School</t>
  </si>
  <si>
    <t>010210002431</t>
  </si>
  <si>
    <t>Elkmont Elementary School</t>
  </si>
  <si>
    <t>010210000805</t>
  </si>
  <si>
    <t>Sugar Creek Elementary School</t>
  </si>
  <si>
    <t>010210000806</t>
  </si>
  <si>
    <t>Piney Chapel Elementary School</t>
  </si>
  <si>
    <t>010210000808</t>
  </si>
  <si>
    <t>Tanner High School</t>
  </si>
  <si>
    <t>010210002422</t>
  </si>
  <si>
    <t>Tanner Elementary School</t>
  </si>
  <si>
    <t>010210000810</t>
  </si>
  <si>
    <t>West Limestone High School</t>
  </si>
  <si>
    <t>010216000815</t>
  </si>
  <si>
    <t>Calhoun High School</t>
  </si>
  <si>
    <t>010216000816</t>
  </si>
  <si>
    <t>Central Elementary School</t>
  </si>
  <si>
    <t>010216000817</t>
  </si>
  <si>
    <t>010216001635</t>
  </si>
  <si>
    <t>Fort Deposit Elementary School</t>
  </si>
  <si>
    <t>010216001636</t>
  </si>
  <si>
    <t>Hayneville Middle School</t>
  </si>
  <si>
    <t>010216001637</t>
  </si>
  <si>
    <t>Lowndes County Middle School</t>
  </si>
  <si>
    <t>010216000821</t>
  </si>
  <si>
    <t>Jackson-Steele Elementary School</t>
  </si>
  <si>
    <t>010219001811</t>
  </si>
  <si>
    <t>Booker T Washington High</t>
  </si>
  <si>
    <t>010219000829</t>
  </si>
  <si>
    <t>DC Wolfe School</t>
  </si>
  <si>
    <t>010219001863</t>
  </si>
  <si>
    <t>George Washington Carver Elementary School</t>
  </si>
  <si>
    <t>010219000824</t>
  </si>
  <si>
    <t>Notasulga High School</t>
  </si>
  <si>
    <t>010219000827</t>
  </si>
  <si>
    <t>Tuskegee Public Elementary</t>
  </si>
  <si>
    <t>010219000826</t>
  </si>
  <si>
    <t>Tuskegee Institute Middle School</t>
  </si>
  <si>
    <t>010222000835</t>
  </si>
  <si>
    <t>Harvest School</t>
  </si>
  <si>
    <t>010222000030</t>
  </si>
  <si>
    <t>Hazel Green Elementary School</t>
  </si>
  <si>
    <t>010222000837</t>
  </si>
  <si>
    <t>Madison County Elementary School</t>
  </si>
  <si>
    <t>010222000838</t>
  </si>
  <si>
    <t>Madison Cross Roads Elementary School</t>
  </si>
  <si>
    <t>010222000843</t>
  </si>
  <si>
    <t>New Hope High School</t>
  </si>
  <si>
    <t>010222000566</t>
  </si>
  <si>
    <t>New Hope Elementary School</t>
  </si>
  <si>
    <t>010222000844</t>
  </si>
  <si>
    <t>New Market School</t>
  </si>
  <si>
    <t>010222000846</t>
  </si>
  <si>
    <t>Owens Cross Roads School</t>
  </si>
  <si>
    <t>010222001412</t>
  </si>
  <si>
    <t>Sparkman Middle School</t>
  </si>
  <si>
    <t>010222000850</t>
  </si>
  <si>
    <t>Walnut Grove School</t>
  </si>
  <si>
    <t>010222002376</t>
  </si>
  <si>
    <t>Moores Mill Intermediate School</t>
  </si>
  <si>
    <t>010225000852</t>
  </si>
  <si>
    <t>Amelia L. Johnson High School</t>
  </si>
  <si>
    <t>010225000856</t>
  </si>
  <si>
    <t>Marengo High School</t>
  </si>
  <si>
    <t>010225000857</t>
  </si>
  <si>
    <t>Sweet Water High School</t>
  </si>
  <si>
    <t>010231000861</t>
  </si>
  <si>
    <t>Brilliant School</t>
  </si>
  <si>
    <t>010231000865</t>
  </si>
  <si>
    <t>Guin Elementary School</t>
  </si>
  <si>
    <t>010231002160</t>
  </si>
  <si>
    <t>Hackleburg Elementary School</t>
  </si>
  <si>
    <t>010231001552</t>
  </si>
  <si>
    <t>Hamilton Elementary School</t>
  </si>
  <si>
    <t>010231000867</t>
  </si>
  <si>
    <t>Hamilton Middle School</t>
  </si>
  <si>
    <t>010231001455</t>
  </si>
  <si>
    <t>Phillips Elementary School</t>
  </si>
  <si>
    <t>010000600872</t>
  </si>
  <si>
    <t>Asbury High School</t>
  </si>
  <si>
    <t>010000602209</t>
  </si>
  <si>
    <t>Asbury Elementary School</t>
  </si>
  <si>
    <t>010000601585</t>
  </si>
  <si>
    <t>Brindlee Mountain High School</t>
  </si>
  <si>
    <t>010000600877</t>
  </si>
  <si>
    <t>Douglas Elementary School</t>
  </si>
  <si>
    <t>010000601413</t>
  </si>
  <si>
    <t>Robert D Sloman Primary</t>
  </si>
  <si>
    <t>010000600878</t>
  </si>
  <si>
    <t>Douglas High School</t>
  </si>
  <si>
    <t>010000601812</t>
  </si>
  <si>
    <t>Douglas Middle School</t>
  </si>
  <si>
    <t>010000600880</t>
  </si>
  <si>
    <t>Brindlee Mountain Elementary School</t>
  </si>
  <si>
    <t>010000600883</t>
  </si>
  <si>
    <t>Kate D Smith DAR High School</t>
  </si>
  <si>
    <t>010000600193</t>
  </si>
  <si>
    <t>Kate Duncan Smith DAR Middle</t>
  </si>
  <si>
    <t>010000601685</t>
  </si>
  <si>
    <t>Kate D Smith DAR Elementary School</t>
  </si>
  <si>
    <t>010000600887</t>
  </si>
  <si>
    <t>Brindlee Mountain Primary School</t>
  </si>
  <si>
    <t>010237002136</t>
  </si>
  <si>
    <t>North Mobile County Middle School</t>
  </si>
  <si>
    <t>010237001559</t>
  </si>
  <si>
    <t>Anna F Booth Elementary School</t>
  </si>
  <si>
    <t>010237000895</t>
  </si>
  <si>
    <t>Peter F Alba Middle School</t>
  </si>
  <si>
    <t>010237000898</t>
  </si>
  <si>
    <t>Ben C Rain High School</t>
  </si>
  <si>
    <t>010237000901</t>
  </si>
  <si>
    <t>Booker T Washington Middle School</t>
  </si>
  <si>
    <t>010237001435</t>
  </si>
  <si>
    <t>Bernice J Causey Middle School</t>
  </si>
  <si>
    <t>010237000900</t>
  </si>
  <si>
    <t>Mattie T Blount High School</t>
  </si>
  <si>
    <t>010237002083</t>
  </si>
  <si>
    <t>Breitling Elementary School</t>
  </si>
  <si>
    <t>010237000989</t>
  </si>
  <si>
    <t>Alma Bryant High School</t>
  </si>
  <si>
    <t>010237000990</t>
  </si>
  <si>
    <t>Burns Middle School</t>
  </si>
  <si>
    <t>010237000935</t>
  </si>
  <si>
    <t>Mary W Burroughs Elementary School</t>
  </si>
  <si>
    <t>010237000904</t>
  </si>
  <si>
    <t>Calcedeaver Elementary School</t>
  </si>
  <si>
    <t>010237000992</t>
  </si>
  <si>
    <t>Calloway Smith Middle School</t>
  </si>
  <si>
    <t>010237000906</t>
  </si>
  <si>
    <t>Citronelle High School</t>
  </si>
  <si>
    <t>010237001775</t>
  </si>
  <si>
    <t>Erwin Craighead Elementary School</t>
  </si>
  <si>
    <t>010237000914</t>
  </si>
  <si>
    <t>Dixon Elementary School</t>
  </si>
  <si>
    <t>010237001595</t>
  </si>
  <si>
    <t>Dr. Robert W. Gilliard Elementary</t>
  </si>
  <si>
    <t>010237000916</t>
  </si>
  <si>
    <t>Dunbar Creative Performing Arts</t>
  </si>
  <si>
    <t>010237000913</t>
  </si>
  <si>
    <t>ER Dickson Elementary School</t>
  </si>
  <si>
    <t>010237000919</t>
  </si>
  <si>
    <t>Collins-Rhodes Elementary School</t>
  </si>
  <si>
    <t>010237001436</t>
  </si>
  <si>
    <t>Elsie Collier Elementary School</t>
  </si>
  <si>
    <t>010237000920</t>
  </si>
  <si>
    <t>Elizabeth Fonde Elementary School</t>
  </si>
  <si>
    <t>010237000922</t>
  </si>
  <si>
    <t>Forest Hill Elementary School</t>
  </si>
  <si>
    <t>010237001556</t>
  </si>
  <si>
    <t>George Hall Elementary School</t>
  </si>
  <si>
    <t>010237001516</t>
  </si>
  <si>
    <t>J E Turner Elementary</t>
  </si>
  <si>
    <t>010237000924</t>
  </si>
  <si>
    <t>Cora Castlen Elementary</t>
  </si>
  <si>
    <t>010237001028</t>
  </si>
  <si>
    <t>Grant Elementary School</t>
  </si>
  <si>
    <t>010237000965</t>
  </si>
  <si>
    <t>WC Griggs Elementary School</t>
  </si>
  <si>
    <t>010237000927</t>
  </si>
  <si>
    <t>Hollingers Island Elementary School</t>
  </si>
  <si>
    <t>010237001030</t>
  </si>
  <si>
    <t>Florence Howard Elementary School</t>
  </si>
  <si>
    <t>010237000928</t>
  </si>
  <si>
    <t>Indian Springs Elementary School</t>
  </si>
  <si>
    <t>010237000930</t>
  </si>
  <si>
    <t>John Will Elementary School</t>
  </si>
  <si>
    <t>010237000956</t>
  </si>
  <si>
    <t>Kate Shepard Elementary School</t>
  </si>
  <si>
    <t>010237000932</t>
  </si>
  <si>
    <t>Leinkauf Elementary School</t>
  </si>
  <si>
    <t>010237000936</t>
  </si>
  <si>
    <t>Maryvale Elementary School</t>
  </si>
  <si>
    <t>010237001437</t>
  </si>
  <si>
    <t>McDavid-Jones Elementary School</t>
  </si>
  <si>
    <t>010237001619</t>
  </si>
  <si>
    <t>Meadowlake Elementary</t>
  </si>
  <si>
    <t>010237000938</t>
  </si>
  <si>
    <t>Grand Bay Middle School</t>
  </si>
  <si>
    <t>010237001038</t>
  </si>
  <si>
    <t>The Pathway</t>
  </si>
  <si>
    <t>010237000939</t>
  </si>
  <si>
    <t>Mobile County Training Middle School</t>
  </si>
  <si>
    <t>010237000940</t>
  </si>
  <si>
    <t>Morningside Elementary School</t>
  </si>
  <si>
    <t>010237000942</t>
  </si>
  <si>
    <t>Murphy High School</t>
  </si>
  <si>
    <t>010237000910</t>
  </si>
  <si>
    <t>Nan Gray Davis Elementary School</t>
  </si>
  <si>
    <t>010237000915</t>
  </si>
  <si>
    <t>Olive J Dodge Elementary School</t>
  </si>
  <si>
    <t>010237000944</t>
  </si>
  <si>
    <t>Orchard Elementary School</t>
  </si>
  <si>
    <t>010237000946</t>
  </si>
  <si>
    <t>Pillans Middle School</t>
  </si>
  <si>
    <t>010237001438</t>
  </si>
  <si>
    <t>Lott Middle School</t>
  </si>
  <si>
    <t>010237001813</t>
  </si>
  <si>
    <t>O'Rourke Elementary School</t>
  </si>
  <si>
    <t>010237000954</t>
  </si>
  <si>
    <t>CL Scarborough Model Middle School</t>
  </si>
  <si>
    <t>010237001560</t>
  </si>
  <si>
    <t>Semmes Elementary School</t>
  </si>
  <si>
    <t>010237000955</t>
  </si>
  <si>
    <t>Semmes Middle School</t>
  </si>
  <si>
    <t>010237001732</t>
  </si>
  <si>
    <t>Saint Elmo Elementary School</t>
  </si>
  <si>
    <t>010237001617</t>
  </si>
  <si>
    <t>Holloway Elementary</t>
  </si>
  <si>
    <t>010237002202</t>
  </si>
  <si>
    <t>Taylor White Elementary School</t>
  </si>
  <si>
    <t>010237000960</t>
  </si>
  <si>
    <t>Tanner Williams Elementary School</t>
  </si>
  <si>
    <t>010237001688</t>
  </si>
  <si>
    <t>Theodore High School</t>
  </si>
  <si>
    <t>010237000961</t>
  </si>
  <si>
    <t>Katherine H Hankins Middle School</t>
  </si>
  <si>
    <t>010237000962</t>
  </si>
  <si>
    <t>John L Leflore Magnet School</t>
  </si>
  <si>
    <t>010237000963</t>
  </si>
  <si>
    <t>Chastang-Fournier Middle School</t>
  </si>
  <si>
    <t>010237000964</t>
  </si>
  <si>
    <t>CF Vigor High School</t>
  </si>
  <si>
    <t>010237000949</t>
  </si>
  <si>
    <t>WD Robbins Elementary School</t>
  </si>
  <si>
    <t>010237000966</t>
  </si>
  <si>
    <t>Spencer-Westlawn Elementary School</t>
  </si>
  <si>
    <t>010237000968</t>
  </si>
  <si>
    <t>Whitley Elementary School</t>
  </si>
  <si>
    <t>010237000969</t>
  </si>
  <si>
    <t>Lillie B Williamson High School</t>
  </si>
  <si>
    <t>010237000970</t>
  </si>
  <si>
    <t>Wilmer Elementary School</t>
  </si>
  <si>
    <t>010237001620</t>
  </si>
  <si>
    <t>Pearl Haskew Elementary</t>
  </si>
  <si>
    <t>010240000975</t>
  </si>
  <si>
    <t>Excel High School</t>
  </si>
  <si>
    <t>010240000979</t>
  </si>
  <si>
    <t>J F Shields High School</t>
  </si>
  <si>
    <t>010240000980</t>
  </si>
  <si>
    <t>J U Blacksher School</t>
  </si>
  <si>
    <t>010240000973</t>
  </si>
  <si>
    <t>Monroe County High School</t>
  </si>
  <si>
    <t>010240000981</t>
  </si>
  <si>
    <t>Monroe Intermediate School</t>
  </si>
  <si>
    <t>010240001562</t>
  </si>
  <si>
    <t>Monroeville Elementary School</t>
  </si>
  <si>
    <t>010240000983</t>
  </si>
  <si>
    <t>Monroeville Middle School</t>
  </si>
  <si>
    <t>010243000993</t>
  </si>
  <si>
    <t>Bellingrath Middle School</t>
  </si>
  <si>
    <t>010243001392</t>
  </si>
  <si>
    <t>Brewbaker Intermediate School</t>
  </si>
  <si>
    <t>010243001563</t>
  </si>
  <si>
    <t>Brewbaker Middle School</t>
  </si>
  <si>
    <t>010243001753</t>
  </si>
  <si>
    <t>Brewbaker Primary School</t>
  </si>
  <si>
    <t>010243000995</t>
  </si>
  <si>
    <t>Capitol Heights Middle School</t>
  </si>
  <si>
    <t>010243002152</t>
  </si>
  <si>
    <t>Carr Middle School</t>
  </si>
  <si>
    <t>010243000996</t>
  </si>
  <si>
    <t>Carver Elementary School</t>
  </si>
  <si>
    <t>010243001015</t>
  </si>
  <si>
    <t>Carver Senior High School</t>
  </si>
  <si>
    <t>010243000998</t>
  </si>
  <si>
    <t>Catoma Elementary School</t>
  </si>
  <si>
    <t>010243001001</t>
  </si>
  <si>
    <t>Chisholm Elementary School</t>
  </si>
  <si>
    <t>010243001006</t>
  </si>
  <si>
    <t>Dalraida Elementary School</t>
  </si>
  <si>
    <t>010243001007</t>
  </si>
  <si>
    <t>Dannelly Elementary School</t>
  </si>
  <si>
    <t>010243001008</t>
  </si>
  <si>
    <t>Davis Elementary School</t>
  </si>
  <si>
    <t>010243001009</t>
  </si>
  <si>
    <t>Dozier Elementary School</t>
  </si>
  <si>
    <t>010243001010</t>
  </si>
  <si>
    <t>Dunbar-Ramer School</t>
  </si>
  <si>
    <t>010243001011</t>
  </si>
  <si>
    <t>McIntyre Comprehensive Academy</t>
  </si>
  <si>
    <t>010243001012</t>
  </si>
  <si>
    <t>Flowers Elementary School</t>
  </si>
  <si>
    <t>010243001458</t>
  </si>
  <si>
    <t>Garrett Elementary School</t>
  </si>
  <si>
    <t>010243001017</t>
  </si>
  <si>
    <t>Goodwyn Middle School</t>
  </si>
  <si>
    <t>010243001459</t>
  </si>
  <si>
    <t>Halcyon Elementary School</t>
  </si>
  <si>
    <t>010243001021</t>
  </si>
  <si>
    <t>Highland Avenue Elementary School</t>
  </si>
  <si>
    <t>010243001022</t>
  </si>
  <si>
    <t>Highland Gardens Elementary School</t>
  </si>
  <si>
    <t>010243001024</t>
  </si>
  <si>
    <t>Jefferson Davis High School</t>
  </si>
  <si>
    <t>010243001025</t>
  </si>
  <si>
    <t>010243001101</t>
  </si>
  <si>
    <t>King Elementary</t>
  </si>
  <si>
    <t>010243001036</t>
  </si>
  <si>
    <t>Lanier Senior High School</t>
  </si>
  <si>
    <t>010243001035</t>
  </si>
  <si>
    <t>Lee High School</t>
  </si>
  <si>
    <t>010243001777</t>
  </si>
  <si>
    <t>Fitzpatrick Elementary School</t>
  </si>
  <si>
    <t>010243001524</t>
  </si>
  <si>
    <t>McKee Middle School</t>
  </si>
  <si>
    <t>010243001105</t>
  </si>
  <si>
    <t>Morris Elementary School</t>
  </si>
  <si>
    <t>010243001031</t>
  </si>
  <si>
    <t>Morningview Elementary School</t>
  </si>
  <si>
    <t>010243001439</t>
  </si>
  <si>
    <t>Nixon Elementary School</t>
  </si>
  <si>
    <t>010243002214</t>
  </si>
  <si>
    <t>Park Crossing High School</t>
  </si>
  <si>
    <t>010243001004</t>
  </si>
  <si>
    <t>Crump Elementary School</t>
  </si>
  <si>
    <t>010243001034</t>
  </si>
  <si>
    <t>Pintlala Elementary School</t>
  </si>
  <si>
    <t>010243001037</t>
  </si>
  <si>
    <t>Southlawn Elementary School</t>
  </si>
  <si>
    <t>010243001111</t>
  </si>
  <si>
    <t>Southlawn Middle School</t>
  </si>
  <si>
    <t>010243001039</t>
  </si>
  <si>
    <t>Vaughn Road Elementary School</t>
  </si>
  <si>
    <t>010243001564</t>
  </si>
  <si>
    <t>Wares Ferry Elementary School</t>
  </si>
  <si>
    <t>010243002151</t>
  </si>
  <si>
    <t>010248001041</t>
  </si>
  <si>
    <t>Cotaco School</t>
  </si>
  <si>
    <t>010248000202</t>
  </si>
  <si>
    <t>Danville-Neel Elementary School</t>
  </si>
  <si>
    <t>010248001043</t>
  </si>
  <si>
    <t>Eva School</t>
  </si>
  <si>
    <t>010248000204</t>
  </si>
  <si>
    <t>Falkville Elementary School</t>
  </si>
  <si>
    <t>010248001046</t>
  </si>
  <si>
    <t>Laceys Spring Elementary School</t>
  </si>
  <si>
    <t>010248001050</t>
  </si>
  <si>
    <t>Sparkman Elementary School</t>
  </si>
  <si>
    <t>010248001051</t>
  </si>
  <si>
    <t>Union Hill School</t>
  </si>
  <si>
    <t>010248000212</t>
  </si>
  <si>
    <t>West Morgan Elementary School</t>
  </si>
  <si>
    <t>010267001734</t>
  </si>
  <si>
    <t>Francis Marion School</t>
  </si>
  <si>
    <t>010267001577</t>
  </si>
  <si>
    <t>Robert C Hatch High School</t>
  </si>
  <si>
    <t>010273001097</t>
  </si>
  <si>
    <t>Aliceville Elementary School</t>
  </si>
  <si>
    <t>010273001098</t>
  </si>
  <si>
    <t>Aliceville High School</t>
  </si>
  <si>
    <t>010273001103</t>
  </si>
  <si>
    <t>Gordo Elementary School</t>
  </si>
  <si>
    <t>010273001104</t>
  </si>
  <si>
    <t>Gordo High School</t>
  </si>
  <si>
    <t>010273001102</t>
  </si>
  <si>
    <t>Pickens County High School</t>
  </si>
  <si>
    <t>010273001106</t>
  </si>
  <si>
    <t>Reform Elementary School</t>
  </si>
  <si>
    <t>010279001110</t>
  </si>
  <si>
    <t>Banks School</t>
  </si>
  <si>
    <t>010279001113</t>
  </si>
  <si>
    <t>Goshen Elementary School</t>
  </si>
  <si>
    <t>010279001114</t>
  </si>
  <si>
    <t>Goshen High School</t>
  </si>
  <si>
    <t>010279001115</t>
  </si>
  <si>
    <t>Pike County Elementary School</t>
  </si>
  <si>
    <t>010279001112</t>
  </si>
  <si>
    <t>Pike County High School</t>
  </si>
  <si>
    <t>010282002171</t>
  </si>
  <si>
    <t>Wedowee Elementary School</t>
  </si>
  <si>
    <t>010282001119</t>
  </si>
  <si>
    <t>Randolph County High School</t>
  </si>
  <si>
    <t>010282001122</t>
  </si>
  <si>
    <t>Rock Mills Junior High School</t>
  </si>
  <si>
    <t>010282001123</t>
  </si>
  <si>
    <t>Wadley High School</t>
  </si>
  <si>
    <t>010282001124</t>
  </si>
  <si>
    <t>Wedowee Middle School</t>
  </si>
  <si>
    <t>010282001125</t>
  </si>
  <si>
    <t>Woodland High School</t>
  </si>
  <si>
    <t>010282002438</t>
  </si>
  <si>
    <t>Woodland Elementary School</t>
  </si>
  <si>
    <t>010288001132</t>
  </si>
  <si>
    <t>Dixie Elementary School</t>
  </si>
  <si>
    <t>010288001133</t>
  </si>
  <si>
    <t>Ladonia Elementary School</t>
  </si>
  <si>
    <t>010288002192</t>
  </si>
  <si>
    <t>Mt Olive Primary School</t>
  </si>
  <si>
    <t>010288001134</t>
  </si>
  <si>
    <t>Mount Olive Intermediate School</t>
  </si>
  <si>
    <t>010288001135</t>
  </si>
  <si>
    <t>Oliver Elementary School</t>
  </si>
  <si>
    <t>010288001802</t>
  </si>
  <si>
    <t>Russell County High School</t>
  </si>
  <si>
    <t>010288001441</t>
  </si>
  <si>
    <t>Russell County Middle School</t>
  </si>
  <si>
    <t>010306201622</t>
  </si>
  <si>
    <t>Ashville Elementary School</t>
  </si>
  <si>
    <t>010306200322</t>
  </si>
  <si>
    <t>Ashville Middle School</t>
  </si>
  <si>
    <t>010306201376</t>
  </si>
  <si>
    <t>Ragland High School</t>
  </si>
  <si>
    <t>010306200219</t>
  </si>
  <si>
    <t>Odenville Elementary School</t>
  </si>
  <si>
    <t>010306201172</t>
  </si>
  <si>
    <t>Odenville Middle School</t>
  </si>
  <si>
    <t>010306201877</t>
  </si>
  <si>
    <t>Odenville Intermediate School</t>
  </si>
  <si>
    <t>010306201378</t>
  </si>
  <si>
    <t>Steele Junior High School</t>
  </si>
  <si>
    <t>010303002199</t>
  </si>
  <si>
    <t>Calera Intermediate School</t>
  </si>
  <si>
    <t>010303001169</t>
  </si>
  <si>
    <t>Calera Elementary</t>
  </si>
  <si>
    <t>010303001588</t>
  </si>
  <si>
    <t>Elvin Hill Elementary School</t>
  </si>
  <si>
    <t>010303001176</t>
  </si>
  <si>
    <t>Montevallo Elementary School</t>
  </si>
  <si>
    <t>010303001181</t>
  </si>
  <si>
    <t>Shelby Elementary School</t>
  </si>
  <si>
    <t>010303001186</t>
  </si>
  <si>
    <t>Vincent Elementary School</t>
  </si>
  <si>
    <t>010303001188</t>
  </si>
  <si>
    <t>Wilsonville Elementary School</t>
  </si>
  <si>
    <t>010309001592</t>
  </si>
  <si>
    <t>Kinterbish Junior High School</t>
  </si>
  <si>
    <t>010309001192</t>
  </si>
  <si>
    <t>Livingston Junior High School</t>
  </si>
  <si>
    <t>010309001195</t>
  </si>
  <si>
    <t>York West End Junior High School</t>
  </si>
  <si>
    <t>010309002201</t>
  </si>
  <si>
    <t>Sumter Central High School</t>
  </si>
  <si>
    <t>010318001209</t>
  </si>
  <si>
    <t>AH Watwood Elementary School</t>
  </si>
  <si>
    <t>010318001210</t>
  </si>
  <si>
    <t>BB Comer Memorial High School</t>
  </si>
  <si>
    <t>010318000577</t>
  </si>
  <si>
    <t>BB Comer Memorial Elementary School</t>
  </si>
  <si>
    <t>010318001211</t>
  </si>
  <si>
    <t>Charles R Drew Middle School</t>
  </si>
  <si>
    <t>010318001212</t>
  </si>
  <si>
    <t>Childersburg Elementary School</t>
  </si>
  <si>
    <t>010318001213</t>
  </si>
  <si>
    <t>Childersburg High School</t>
  </si>
  <si>
    <t>010318001756</t>
  </si>
  <si>
    <t>Childersburg Middle School</t>
  </si>
  <si>
    <t>010318001215</t>
  </si>
  <si>
    <t>Talladega County Central High</t>
  </si>
  <si>
    <t>010318001216</t>
  </si>
  <si>
    <t>Fayetteville High School</t>
  </si>
  <si>
    <t>010318001443</t>
  </si>
  <si>
    <t>Munford Elementary School</t>
  </si>
  <si>
    <t>010318002086</t>
  </si>
  <si>
    <t>Munford Middle School</t>
  </si>
  <si>
    <t>010318001599</t>
  </si>
  <si>
    <t>Sycamore School</t>
  </si>
  <si>
    <t>010318001805</t>
  </si>
  <si>
    <t>Lincoln Elementary School</t>
  </si>
  <si>
    <t>010318001806</t>
  </si>
  <si>
    <t>Stemley Road Elementary School</t>
  </si>
  <si>
    <t>010318001226</t>
  </si>
  <si>
    <t>Winterboro High School</t>
  </si>
  <si>
    <t>010321001228</t>
  </si>
  <si>
    <t>Dadeville Elementary School</t>
  </si>
  <si>
    <t>010321001229</t>
  </si>
  <si>
    <t>Dadeville High School</t>
  </si>
  <si>
    <t>010321000038</t>
  </si>
  <si>
    <t>Horseshoe Bend High School</t>
  </si>
  <si>
    <t>010321001234</t>
  </si>
  <si>
    <t>Reeltown High School</t>
  </si>
  <si>
    <t>010321002433</t>
  </si>
  <si>
    <t>Reeltown Elementary School</t>
  </si>
  <si>
    <t>010339001445</t>
  </si>
  <si>
    <t>Taylorville Primary School</t>
  </si>
  <si>
    <t>010339001272</t>
  </si>
  <si>
    <t>Holt Elementary School</t>
  </si>
  <si>
    <t>010339001273</t>
  </si>
  <si>
    <t>Brookwood Elementary School</t>
  </si>
  <si>
    <t>010339001275</t>
  </si>
  <si>
    <t>Buhl Elementary School</t>
  </si>
  <si>
    <t>010339001276</t>
  </si>
  <si>
    <t>Cottondale Elementary School</t>
  </si>
  <si>
    <t>010339001277</t>
  </si>
  <si>
    <t>Crestmont Elementary School</t>
  </si>
  <si>
    <t>010339001284</t>
  </si>
  <si>
    <t>Maxwell Elementary School</t>
  </si>
  <si>
    <t>010339001278</t>
  </si>
  <si>
    <t>Englewood Elementary School</t>
  </si>
  <si>
    <t>010339001279</t>
  </si>
  <si>
    <t>Flatwoods Elementary School</t>
  </si>
  <si>
    <t>010339002088</t>
  </si>
  <si>
    <t>Davis-Emerson Middle School</t>
  </si>
  <si>
    <t>010339001282</t>
  </si>
  <si>
    <t>Holt High School</t>
  </si>
  <si>
    <t>010339001283</t>
  </si>
  <si>
    <t>Matthews Elementary School</t>
  </si>
  <si>
    <t>010339001285</t>
  </si>
  <si>
    <t>Myrtlewood Elementary School</t>
  </si>
  <si>
    <t>010339001292</t>
  </si>
  <si>
    <t>Vance Elementary School</t>
  </si>
  <si>
    <t>010339001295</t>
  </si>
  <si>
    <t>Westwood Elementary School</t>
  </si>
  <si>
    <t>010345000131</t>
  </si>
  <si>
    <t>Carbon Hill Elementary-Junior High School</t>
  </si>
  <si>
    <t>010345001305</t>
  </si>
  <si>
    <t>Bankhead Middle School</t>
  </si>
  <si>
    <t>010345001307</t>
  </si>
  <si>
    <t>Cordova Elementary School</t>
  </si>
  <si>
    <t>010345001309</t>
  </si>
  <si>
    <t>Curry Elementary School</t>
  </si>
  <si>
    <t>010345001703</t>
  </si>
  <si>
    <t>Curry Middle School</t>
  </si>
  <si>
    <t>010345001317</t>
  </si>
  <si>
    <t>Lupton Junior High School</t>
  </si>
  <si>
    <t>010345001319</t>
  </si>
  <si>
    <t>Oakman Middle School</t>
  </si>
  <si>
    <t>010345001321</t>
  </si>
  <si>
    <t>Parrish Elementary/Middle School</t>
  </si>
  <si>
    <t>010345001325</t>
  </si>
  <si>
    <t>Sumiton Middle School</t>
  </si>
  <si>
    <t>010345002377</t>
  </si>
  <si>
    <t>Sumiton Elementary School</t>
  </si>
  <si>
    <t>010345001611</t>
  </si>
  <si>
    <t>Valley Junior High School</t>
  </si>
  <si>
    <t>010348001333</t>
  </si>
  <si>
    <t>Chatom Elementary School</t>
  </si>
  <si>
    <t>010348001332</t>
  </si>
  <si>
    <t>McIntosh Elementary School</t>
  </si>
  <si>
    <t>010348001336</t>
  </si>
  <si>
    <t>Fruitdale High School</t>
  </si>
  <si>
    <t>010348001337</t>
  </si>
  <si>
    <t>Leroy High School</t>
  </si>
  <si>
    <t>010348001338</t>
  </si>
  <si>
    <t>McIntosh High School</t>
  </si>
  <si>
    <t>010348001339</t>
  </si>
  <si>
    <t>Millry High School</t>
  </si>
  <si>
    <t>010348001335</t>
  </si>
  <si>
    <t>Washington County High School</t>
  </si>
  <si>
    <t>010351001342</t>
  </si>
  <si>
    <t>ABC Elementary</t>
  </si>
  <si>
    <t>010351001344</t>
  </si>
  <si>
    <t>J E Hobbs Elementary School</t>
  </si>
  <si>
    <t>010351000325</t>
  </si>
  <si>
    <t>F S Ervin Elementary School</t>
  </si>
  <si>
    <t>010351001780</t>
  </si>
  <si>
    <t>Wilcox Central High School</t>
  </si>
  <si>
    <t>010351001809</t>
  </si>
  <si>
    <t>Camden School Of Arts &amp; Technology</t>
  </si>
  <si>
    <t>010358001463</t>
  </si>
  <si>
    <t>Addison Elementary School</t>
  </si>
  <si>
    <t>010358001358</t>
  </si>
  <si>
    <t>Double Springs Elementary School</t>
  </si>
  <si>
    <t>010358001464</t>
  </si>
  <si>
    <t>Double Springs Middle School</t>
  </si>
  <si>
    <t>010358001465</t>
  </si>
  <si>
    <t>Lynn Elementary School</t>
  </si>
  <si>
    <t>010358001466</t>
  </si>
  <si>
    <t>Meek Elementary School</t>
  </si>
  <si>
    <t>010000502150</t>
  </si>
  <si>
    <t>Albertville Primary School</t>
  </si>
  <si>
    <t>010000500870</t>
  </si>
  <si>
    <t>Albertville Middle School</t>
  </si>
  <si>
    <t>010000500871</t>
  </si>
  <si>
    <t>Albertville High School</t>
  </si>
  <si>
    <t>010000501616</t>
  </si>
  <si>
    <t>Albertville Kindergarten and Pre-K</t>
  </si>
  <si>
    <t>010000500879</t>
  </si>
  <si>
    <t>Albertville Intermediate School</t>
  </si>
  <si>
    <t>010000500889</t>
  </si>
  <si>
    <t>Albertville Elementary School</t>
  </si>
  <si>
    <t>010003000004</t>
  </si>
  <si>
    <t>Jim Pearson Elementary School</t>
  </si>
  <si>
    <t>010003000005</t>
  </si>
  <si>
    <t>Nathaniel H Stephens Elementary School</t>
  </si>
  <si>
    <t>010003000006</t>
  </si>
  <si>
    <t>William L Radney Elementary School</t>
  </si>
  <si>
    <t>010019001460</t>
  </si>
  <si>
    <t>Meadow View  Elementary School</t>
  </si>
  <si>
    <t>010019001815</t>
  </si>
  <si>
    <t>Creek View Elementary School</t>
  </si>
  <si>
    <t>010019001182</t>
  </si>
  <si>
    <t>Thompson Intermediate School</t>
  </si>
  <si>
    <t>010006000007</t>
  </si>
  <si>
    <t>Andalusia High School</t>
  </si>
  <si>
    <t>010006000008</t>
  </si>
  <si>
    <t>Andalusia Junior High</t>
  </si>
  <si>
    <t>010006001467</t>
  </si>
  <si>
    <t>Andalusia Elementary School</t>
  </si>
  <si>
    <t>010009000011</t>
  </si>
  <si>
    <t>Anniston High School</t>
  </si>
  <si>
    <t>010009001725</t>
  </si>
  <si>
    <t>Anniston Middle School</t>
  </si>
  <si>
    <t>010009001782</t>
  </si>
  <si>
    <t xml:space="preserve">Cobb Preparatory Academy </t>
  </si>
  <si>
    <t>010009000017</t>
  </si>
  <si>
    <t>Golden Springs Elementary School</t>
  </si>
  <si>
    <t>010009000020</t>
  </si>
  <si>
    <t>Randolph Park Elementary School</t>
  </si>
  <si>
    <t>010009000021</t>
  </si>
  <si>
    <t>Tenth Street Elementary School</t>
  </si>
  <si>
    <t>010010000022</t>
  </si>
  <si>
    <t>Arab Elementary School</t>
  </si>
  <si>
    <t>010010000025</t>
  </si>
  <si>
    <t>Arab Primary School</t>
  </si>
  <si>
    <t>010012001471</t>
  </si>
  <si>
    <t>Athens Elementary School</t>
  </si>
  <si>
    <t>010012001758</t>
  </si>
  <si>
    <t>Brookhill Elementary School</t>
  </si>
  <si>
    <t>010012001475</t>
  </si>
  <si>
    <t>Julian Newman Elementary School</t>
  </si>
  <si>
    <t>010012001474</t>
  </si>
  <si>
    <t>James L Cowart Elementary School</t>
  </si>
  <si>
    <t>010018000034</t>
  </si>
  <si>
    <t>Etowah Middle School</t>
  </si>
  <si>
    <t>010018000035</t>
  </si>
  <si>
    <t>Attalla Elementary School</t>
  </si>
  <si>
    <t>010021000053</t>
  </si>
  <si>
    <t>Auburn Early Education Center</t>
  </si>
  <si>
    <t>010021000039</t>
  </si>
  <si>
    <t>Cary Woods Elementary School</t>
  </si>
  <si>
    <t>010021002363</t>
  </si>
  <si>
    <t>Pick Elementary School</t>
  </si>
  <si>
    <t>010021000040</t>
  </si>
  <si>
    <t>Dean Road Elementary School</t>
  </si>
  <si>
    <t>010021001254</t>
  </si>
  <si>
    <t>010021000042</t>
  </si>
  <si>
    <t>010021001879</t>
  </si>
  <si>
    <t>010021001259</t>
  </si>
  <si>
    <t>Margaret Yarbrough Elementary School</t>
  </si>
  <si>
    <t>010021002454</t>
  </si>
  <si>
    <t>010033001479</t>
  </si>
  <si>
    <t>Abrams Elementary School</t>
  </si>
  <si>
    <t>010033000086</t>
  </si>
  <si>
    <t>Bessemer City Middle School</t>
  </si>
  <si>
    <t>010033000082</t>
  </si>
  <si>
    <t>Greenwood Elementary School</t>
  </si>
  <si>
    <t>010033000084</t>
  </si>
  <si>
    <t>Charles F Hard Elementary School</t>
  </si>
  <si>
    <t>010033000087</t>
  </si>
  <si>
    <t>Bessemer City High School</t>
  </si>
  <si>
    <t>010033000088</t>
  </si>
  <si>
    <t>Jonesboro Elementary School</t>
  </si>
  <si>
    <t>010033000090</t>
  </si>
  <si>
    <t>Westhills Elementary School</t>
  </si>
  <si>
    <t>010039000103</t>
  </si>
  <si>
    <t>Avondale Elementary School</t>
  </si>
  <si>
    <t>010039000106</t>
  </si>
  <si>
    <t>Barrett Elementary School</t>
  </si>
  <si>
    <t>010039002204</t>
  </si>
  <si>
    <t>Bush Hills STEAM Academy</t>
  </si>
  <si>
    <t>010039000107</t>
  </si>
  <si>
    <t>Charles A Brown Elementary School</t>
  </si>
  <si>
    <t>010039001468</t>
  </si>
  <si>
    <t>George Washington Carver High School</t>
  </si>
  <si>
    <t>010039000112</t>
  </si>
  <si>
    <t>Central Park Elementary School</t>
  </si>
  <si>
    <t>010039000113</t>
  </si>
  <si>
    <t>Christian School</t>
  </si>
  <si>
    <t>010039000119</t>
  </si>
  <si>
    <t>EPIC Alternative Elementary School</t>
  </si>
  <si>
    <t>010039000127</t>
  </si>
  <si>
    <t>Oliver K5 School</t>
  </si>
  <si>
    <t>010039001484</t>
  </si>
  <si>
    <t>Glen Iris Elementary School</t>
  </si>
  <si>
    <t>010039000133</t>
  </si>
  <si>
    <t>Green Acres Middle School</t>
  </si>
  <si>
    <t>010039002206</t>
  </si>
  <si>
    <t>Hayes K-8</t>
  </si>
  <si>
    <t>010039000136</t>
  </si>
  <si>
    <t>Hemphill Elementary School</t>
  </si>
  <si>
    <t>010039000139</t>
  </si>
  <si>
    <t>Hudson K-Eight School</t>
  </si>
  <si>
    <t>010039000140</t>
  </si>
  <si>
    <t>Huffman Middle School</t>
  </si>
  <si>
    <t>010039000141</t>
  </si>
  <si>
    <t>Huffman High School-Magnet</t>
  </si>
  <si>
    <t>010039002185</t>
  </si>
  <si>
    <t>Huffman Academy</t>
  </si>
  <si>
    <t>010039000142</t>
  </si>
  <si>
    <t>Inglenook School</t>
  </si>
  <si>
    <t>010039000164</t>
  </si>
  <si>
    <t>Jackson-Olin High School</t>
  </si>
  <si>
    <t>010039001446</t>
  </si>
  <si>
    <t>Martha Gaskins K-5</t>
  </si>
  <si>
    <t>010039000156</t>
  </si>
  <si>
    <t>Minor Elementary School</t>
  </si>
  <si>
    <t>010039000161</t>
  </si>
  <si>
    <t>Norwood Elementary School</t>
  </si>
  <si>
    <t>010039002354</t>
  </si>
  <si>
    <t>Oxmoor K-5</t>
  </si>
  <si>
    <t>010039000165</t>
  </si>
  <si>
    <t>Parker High School</t>
  </si>
  <si>
    <t>010039001878</t>
  </si>
  <si>
    <t>Phillips Academy</t>
  </si>
  <si>
    <t>010039000174</t>
  </si>
  <si>
    <t>Princeton School</t>
  </si>
  <si>
    <t>010039000175</t>
  </si>
  <si>
    <t>WE Putnam Middle School-Magnet</t>
  </si>
  <si>
    <t>010039000176</t>
  </si>
  <si>
    <t>Ramsay High School</t>
  </si>
  <si>
    <t>010039001823</t>
  </si>
  <si>
    <t>Ossie Ware Mitchell Middle School</t>
  </si>
  <si>
    <t>010039000179</t>
  </si>
  <si>
    <t>Robinson Elementary School</t>
  </si>
  <si>
    <t>010039001762</t>
  </si>
  <si>
    <t>Sun Valley Elementary School</t>
  </si>
  <si>
    <t>010039000184</t>
  </si>
  <si>
    <t>Smith Middle School</t>
  </si>
  <si>
    <t>010039001421</t>
  </si>
  <si>
    <t>South Hampton K-8</t>
  </si>
  <si>
    <t>010039002489</t>
  </si>
  <si>
    <t>Richard Arrington Elementary</t>
  </si>
  <si>
    <t>010039000187</t>
  </si>
  <si>
    <t>Tuggle Elementary School</t>
  </si>
  <si>
    <t>010039000190</t>
  </si>
  <si>
    <t>Washington K8</t>
  </si>
  <si>
    <t>010039000191</t>
  </si>
  <si>
    <t>Jones Valley Middle School</t>
  </si>
  <si>
    <t>010039000192</t>
  </si>
  <si>
    <t>Wenonah High School</t>
  </si>
  <si>
    <t>010039002187</t>
  </si>
  <si>
    <t>West End Academy</t>
  </si>
  <si>
    <t>010039000196</t>
  </si>
  <si>
    <t>Wilkerson Middle School</t>
  </si>
  <si>
    <t>010039000198</t>
  </si>
  <si>
    <t>Woodlawn High School-Magnet</t>
  </si>
  <si>
    <t>010039000201</t>
  </si>
  <si>
    <t>Wylam Elementary School</t>
  </si>
  <si>
    <t>010001201781</t>
  </si>
  <si>
    <t>Boaz Elementary School</t>
  </si>
  <si>
    <t>010001201630</t>
  </si>
  <si>
    <t>Boaz Intermediate School</t>
  </si>
  <si>
    <t>010001200123</t>
  </si>
  <si>
    <t>Boaz Middle School</t>
  </si>
  <si>
    <t>010001200884</t>
  </si>
  <si>
    <t>Corley Elementary School</t>
  </si>
  <si>
    <t>010045000214</t>
  </si>
  <si>
    <t>Brewton Elementary School</t>
  </si>
  <si>
    <t>010045000215</t>
  </si>
  <si>
    <t>Brewton Middle School</t>
  </si>
  <si>
    <t>010018802193</t>
  </si>
  <si>
    <t>Chickasaw City Elementary School</t>
  </si>
  <si>
    <t>010018802428</t>
  </si>
  <si>
    <t>Chickasaw Middle School</t>
  </si>
  <si>
    <t>010018802194</t>
  </si>
  <si>
    <t>Chickasaw City High School</t>
  </si>
  <si>
    <t>010099000372</t>
  </si>
  <si>
    <t>West Elementary School</t>
  </si>
  <si>
    <t>010099000326</t>
  </si>
  <si>
    <t>Cullman City Primary School</t>
  </si>
  <si>
    <t>010108000394</t>
  </si>
  <si>
    <t>Daleville High School</t>
  </si>
  <si>
    <t>010108001767</t>
  </si>
  <si>
    <t>A M Windham Elementary School</t>
  </si>
  <si>
    <t>010108002497</t>
  </si>
  <si>
    <t>Daleville Middle School</t>
  </si>
  <si>
    <t>010117000427</t>
  </si>
  <si>
    <t>Austinville Elementary School</t>
  </si>
  <si>
    <t>010117001615</t>
  </si>
  <si>
    <t>Frances Nungester Elementary School</t>
  </si>
  <si>
    <t>010117000432</t>
  </si>
  <si>
    <t>Banks-Caddell Elementary School</t>
  </si>
  <si>
    <t>010117000434</t>
  </si>
  <si>
    <t>Oak Park Elementary School</t>
  </si>
  <si>
    <t>010117000435</t>
  </si>
  <si>
    <t>West Decatur Elementary School</t>
  </si>
  <si>
    <t>010117000438</t>
  </si>
  <si>
    <t>Woodmeade Elementary School</t>
  </si>
  <si>
    <t>010120000439</t>
  </si>
  <si>
    <t>Demopolis Middle School</t>
  </si>
  <si>
    <t>010120000441</t>
  </si>
  <si>
    <t>US Jones Elementary School</t>
  </si>
  <si>
    <t>010120000442</t>
  </si>
  <si>
    <t>Westside Elementary School</t>
  </si>
  <si>
    <t>010123001499</t>
  </si>
  <si>
    <t>Beverlye Intermediate School</t>
  </si>
  <si>
    <t>010123002480</t>
  </si>
  <si>
    <t>Dothan Preparatory Academy</t>
  </si>
  <si>
    <t>010123000448</t>
  </si>
  <si>
    <t>Girard Primary School</t>
  </si>
  <si>
    <t>010123000447</t>
  </si>
  <si>
    <t>Girard Intermediate School</t>
  </si>
  <si>
    <t>010123000450</t>
  </si>
  <si>
    <t>Heard Elementary School</t>
  </si>
  <si>
    <t>010123001447</t>
  </si>
  <si>
    <t>Hidden Lake Primary School</t>
  </si>
  <si>
    <t>010123001817</t>
  </si>
  <si>
    <t>Kelly Springs Elementary School</t>
  </si>
  <si>
    <t>010123001449</t>
  </si>
  <si>
    <t>Morris Slingluff Elementary School</t>
  </si>
  <si>
    <t>010123001501</t>
  </si>
  <si>
    <t>Dothan High School</t>
  </si>
  <si>
    <t>010123000454</t>
  </si>
  <si>
    <t>Selma Street Elementary School</t>
  </si>
  <si>
    <t>010123000456</t>
  </si>
  <si>
    <t>Faine Elementary School</t>
  </si>
  <si>
    <t>010126000460</t>
  </si>
  <si>
    <t>010126000461</t>
  </si>
  <si>
    <t>010132001867</t>
  </si>
  <si>
    <t>Enterprise Early Education Center</t>
  </si>
  <si>
    <t>010132001719</t>
  </si>
  <si>
    <t>Harrand Creek Elementary School</t>
  </si>
  <si>
    <t>010132000478</t>
  </si>
  <si>
    <t>Hillcrest Elementary School</t>
  </si>
  <si>
    <t>010132000480</t>
  </si>
  <si>
    <t>Pinedale Elementary School</t>
  </si>
  <si>
    <t>010132000481</t>
  </si>
  <si>
    <t>Rucker Boulevard Elementary School</t>
  </si>
  <si>
    <t>010141000511</t>
  </si>
  <si>
    <t>Eufaula High School</t>
  </si>
  <si>
    <t>010141000513</t>
  </si>
  <si>
    <t>Moorer Middle School</t>
  </si>
  <si>
    <t>010141001510</t>
  </si>
  <si>
    <t>Eufaula Elementary School</t>
  </si>
  <si>
    <t>010141000514</t>
  </si>
  <si>
    <t>Eufaula Primary School</t>
  </si>
  <si>
    <t>010144000515</t>
  </si>
  <si>
    <t>Donald Elementary School</t>
  </si>
  <si>
    <t>010144000516</t>
  </si>
  <si>
    <t>Fairfield High Preparatory School</t>
  </si>
  <si>
    <t>010144000518</t>
  </si>
  <si>
    <t>Glen Oaks Elementary School</t>
  </si>
  <si>
    <t>010144000519</t>
  </si>
  <si>
    <t>010153000532</t>
  </si>
  <si>
    <t>Forest Hills School</t>
  </si>
  <si>
    <t>010153000534</t>
  </si>
  <si>
    <t>Harlan Elementary School</t>
  </si>
  <si>
    <t>010153000535</t>
  </si>
  <si>
    <t>Weeden Elementary School</t>
  </si>
  <si>
    <t>010153001664</t>
  </si>
  <si>
    <t>Hibbett School</t>
  </si>
  <si>
    <t>010156000538</t>
  </si>
  <si>
    <t>Fort Payne High School</t>
  </si>
  <si>
    <t>010156001750</t>
  </si>
  <si>
    <t>Fort Payne Middle School</t>
  </si>
  <si>
    <t>010156000539</t>
  </si>
  <si>
    <t>Williams Avenue Elementary School</t>
  </si>
  <si>
    <t>010156001365</t>
  </si>
  <si>
    <t>Wills Valley Elementary School</t>
  </si>
  <si>
    <t>010162000552</t>
  </si>
  <si>
    <t>Litchfield Middle School</t>
  </si>
  <si>
    <t>010162000551</t>
  </si>
  <si>
    <t>Donehoo Elementary School</t>
  </si>
  <si>
    <t>010162001665</t>
  </si>
  <si>
    <t>Adams Elementary School</t>
  </si>
  <si>
    <t>010162001517</t>
  </si>
  <si>
    <t>Floyd Elementary School</t>
  </si>
  <si>
    <t>010162000559</t>
  </si>
  <si>
    <t>Sansom Middle School</t>
  </si>
  <si>
    <t>010162001666</t>
  </si>
  <si>
    <t>Thompson Elementary School</t>
  </si>
  <si>
    <t>010162000564</t>
  </si>
  <si>
    <t>W. E. Striplin Elementary School</t>
  </si>
  <si>
    <t>010162000565</t>
  </si>
  <si>
    <t>Walnut Park Elementary School</t>
  </si>
  <si>
    <t>010164000568</t>
  </si>
  <si>
    <t>Mulkey Elementary School</t>
  </si>
  <si>
    <t>010164001788</t>
  </si>
  <si>
    <t>Geneva Middle School</t>
  </si>
  <si>
    <t>010020202469</t>
  </si>
  <si>
    <t>Gulf Shores Elementary School</t>
  </si>
  <si>
    <t>010020202471</t>
  </si>
  <si>
    <t>Gulf Shores Middle School</t>
  </si>
  <si>
    <t>010169000579</t>
  </si>
  <si>
    <t>Guntersville Middle School</t>
  </si>
  <si>
    <t>010169000580</t>
  </si>
  <si>
    <t>Cherokee Elementary School</t>
  </si>
  <si>
    <t>010169000581</t>
  </si>
  <si>
    <t>Guntersville Elementary School</t>
  </si>
  <si>
    <t>010172001795</t>
  </si>
  <si>
    <t>Haleyville Elementary School</t>
  </si>
  <si>
    <t>010172001885</t>
  </si>
  <si>
    <t>Haleyville Middle School</t>
  </si>
  <si>
    <t>010173000596</t>
  </si>
  <si>
    <t>Crestline Elementary School</t>
  </si>
  <si>
    <t>010173000597</t>
  </si>
  <si>
    <t>FE Burleson Elementary School</t>
  </si>
  <si>
    <t>010176000607</t>
  </si>
  <si>
    <t>010176000609</t>
  </si>
  <si>
    <t>010000701739</t>
  </si>
  <si>
    <t>010000701740</t>
  </si>
  <si>
    <t>010000701741</t>
  </si>
  <si>
    <t>010000701742</t>
  </si>
  <si>
    <t>010000701743</t>
  </si>
  <si>
    <t>010000700091</t>
  </si>
  <si>
    <t>010180000622</t>
  </si>
  <si>
    <t>Chapman Elementary School</t>
  </si>
  <si>
    <t>010180001527</t>
  </si>
  <si>
    <t>Chapman Middle School</t>
  </si>
  <si>
    <t>010180000623</t>
  </si>
  <si>
    <t>Martin Luther King Jr Elementary School</t>
  </si>
  <si>
    <t>010180000630</t>
  </si>
  <si>
    <t>Highlands Elementary School</t>
  </si>
  <si>
    <t>010180002419</t>
  </si>
  <si>
    <t>Jemison High School</t>
  </si>
  <si>
    <t>010180000635</t>
  </si>
  <si>
    <t>Lakewood Elementary School</t>
  </si>
  <si>
    <t>010180000636</t>
  </si>
  <si>
    <t>010180001529</t>
  </si>
  <si>
    <t>010180002484</t>
  </si>
  <si>
    <t>Morris Middle School</t>
  </si>
  <si>
    <t>010180000638</t>
  </si>
  <si>
    <t>McDonnell Elementary School</t>
  </si>
  <si>
    <t>010180000640</t>
  </si>
  <si>
    <t>Montview Elementary School</t>
  </si>
  <si>
    <t>010180000643</t>
  </si>
  <si>
    <t>Ridgecrest Elementary School</t>
  </si>
  <si>
    <t>010180000644</t>
  </si>
  <si>
    <t>Rolling Hills Elementary School</t>
  </si>
  <si>
    <t>010180002379</t>
  </si>
  <si>
    <t>Ronald McNair 7-8</t>
  </si>
  <si>
    <t>010180002425</t>
  </si>
  <si>
    <t>Sonnie Hereford Elementary School</t>
  </si>
  <si>
    <t>010180000650</t>
  </si>
  <si>
    <t>James Dawson Elementary</t>
  </si>
  <si>
    <t>010180000653</t>
  </si>
  <si>
    <t>Whitesburg Elementary School</t>
  </si>
  <si>
    <t>010186000672</t>
  </si>
  <si>
    <t>Kitty Stone Elementary School</t>
  </si>
  <si>
    <t>010189000674</t>
  </si>
  <si>
    <t>Maddox Intermediate School</t>
  </si>
  <si>
    <t>010189000675</t>
  </si>
  <si>
    <t>Memorial Park Elementary School</t>
  </si>
  <si>
    <t>010189000677</t>
  </si>
  <si>
    <t>T R Simmons Elementary School</t>
  </si>
  <si>
    <t>010198001544</t>
  </si>
  <si>
    <t>W. O. Lance Elementary</t>
  </si>
  <si>
    <t>010198000759</t>
  </si>
  <si>
    <t>Lanett Senior High School</t>
  </si>
  <si>
    <t>010198000760</t>
  </si>
  <si>
    <t>Lanett Junior High School</t>
  </si>
  <si>
    <t>010001102430</t>
  </si>
  <si>
    <t>Leeds Primary School</t>
  </si>
  <si>
    <t>010001102094</t>
  </si>
  <si>
    <t>Leeds Elementary School</t>
  </si>
  <si>
    <t>010001102095</t>
  </si>
  <si>
    <t>Leeds Middle School</t>
  </si>
  <si>
    <t>010213000811</t>
  </si>
  <si>
    <t>George P Austin Junior High School</t>
  </si>
  <si>
    <t>010213000812</t>
  </si>
  <si>
    <t>Linden Elementary School</t>
  </si>
  <si>
    <t>010213000813</t>
  </si>
  <si>
    <t>Linden High School</t>
  </si>
  <si>
    <t>010000802097</t>
  </si>
  <si>
    <t>010000800303</t>
  </si>
  <si>
    <t>010000800839</t>
  </si>
  <si>
    <t>010000802133</t>
  </si>
  <si>
    <t>010235000890</t>
  </si>
  <si>
    <t>Midfield Elementary School</t>
  </si>
  <si>
    <t>010235000891</t>
  </si>
  <si>
    <t>Midfield High School</t>
  </si>
  <si>
    <t>010235000892</t>
  </si>
  <si>
    <t>Rutledge School</t>
  </si>
  <si>
    <t>010252001060</t>
  </si>
  <si>
    <t>Highland Park Elementary School</t>
  </si>
  <si>
    <t>010252001800</t>
  </si>
  <si>
    <t>Howell Graves Preschool</t>
  </si>
  <si>
    <t>010252001063</t>
  </si>
  <si>
    <t>Webster Elementary School</t>
  </si>
  <si>
    <t>010019402396</t>
  </si>
  <si>
    <t>Pelham Ridge</t>
  </si>
  <si>
    <t>010019402395</t>
  </si>
  <si>
    <t>Pelham Oaks</t>
  </si>
  <si>
    <t>010255000583</t>
  </si>
  <si>
    <t>Oneonta Elementary School</t>
  </si>
  <si>
    <t>010255002355</t>
  </si>
  <si>
    <t>Oneonta Middle School</t>
  </si>
  <si>
    <t>010258000349</t>
  </si>
  <si>
    <t>Northside School</t>
  </si>
  <si>
    <t>010258001067</t>
  </si>
  <si>
    <t>Carver Primary School</t>
  </si>
  <si>
    <t>010258001068</t>
  </si>
  <si>
    <t>Jeter Primary School</t>
  </si>
  <si>
    <t>010258001566</t>
  </si>
  <si>
    <t>Morris Avenue Intermediate School</t>
  </si>
  <si>
    <t>010258001778</t>
  </si>
  <si>
    <t>Southview Primary School</t>
  </si>
  <si>
    <t>010258000093</t>
  </si>
  <si>
    <t>West Forest Intermediate School</t>
  </si>
  <si>
    <t>010261001074</t>
  </si>
  <si>
    <t>Opp Middle School</t>
  </si>
  <si>
    <t>010261001078</t>
  </si>
  <si>
    <t>Opp Elementary School</t>
  </si>
  <si>
    <t>010263501733</t>
  </si>
  <si>
    <t>CE Hanna School</t>
  </si>
  <si>
    <t>010263501076</t>
  </si>
  <si>
    <t>Oxford Elementary School</t>
  </si>
  <si>
    <t>010263501865</t>
  </si>
  <si>
    <t>De Armanville Elementary School</t>
  </si>
  <si>
    <t>010263502099</t>
  </si>
  <si>
    <t>Coldwater Elementary School</t>
  </si>
  <si>
    <t>010264001080</t>
  </si>
  <si>
    <t>Carroll High School</t>
  </si>
  <si>
    <t>010264001084</t>
  </si>
  <si>
    <t>Harry N Mixon Intermediate School</t>
  </si>
  <si>
    <t>010264001085</t>
  </si>
  <si>
    <t>Joseph W Lisenby Primary School</t>
  </si>
  <si>
    <t>010264001081</t>
  </si>
  <si>
    <t>D A Smith Middle School</t>
  </si>
  <si>
    <t>010265001569</t>
  </si>
  <si>
    <t>Coosa Valley Elementary School</t>
  </si>
  <si>
    <t>010265001469</t>
  </si>
  <si>
    <t>Eden Elementary School</t>
  </si>
  <si>
    <t>010265001572</t>
  </si>
  <si>
    <t>Iola Roberts Elementary School</t>
  </si>
  <si>
    <t>010265001722</t>
  </si>
  <si>
    <t>Walter M Kennedy School</t>
  </si>
  <si>
    <t>010270002140</t>
  </si>
  <si>
    <t>Central Freshman Academy</t>
  </si>
  <si>
    <t>010270001090</t>
  </si>
  <si>
    <t>Phenix City Intermediate School</t>
  </si>
  <si>
    <t>010270001089</t>
  </si>
  <si>
    <t>Meadowlane Elementary School</t>
  </si>
  <si>
    <t>010270001548</t>
  </si>
  <si>
    <t>Phenix City Elementary School</t>
  </si>
  <si>
    <t>010270001091</t>
  </si>
  <si>
    <t>010270001093</t>
  </si>
  <si>
    <t>Sherwood Elementary School</t>
  </si>
  <si>
    <t>010270001092</t>
  </si>
  <si>
    <t>South Girard School</t>
  </si>
  <si>
    <t>010270001096</t>
  </si>
  <si>
    <t>Westview Elementary School</t>
  </si>
  <si>
    <t>010276001818</t>
  </si>
  <si>
    <t>Piedmont Middle School</t>
  </si>
  <si>
    <t>010276001109</t>
  </si>
  <si>
    <t>Piedmont Elementary School</t>
  </si>
  <si>
    <t>010019502498</t>
  </si>
  <si>
    <t>010018502427</t>
  </si>
  <si>
    <t>Saraland Early Education Center</t>
  </si>
  <si>
    <t>010018500893</t>
  </si>
  <si>
    <t>Saraland Middle School/Adams Campus</t>
  </si>
  <si>
    <t>010018500952</t>
  </si>
  <si>
    <t>Saraland Elementary School</t>
  </si>
  <si>
    <t>010018502137</t>
  </si>
  <si>
    <t>Saraland High School</t>
  </si>
  <si>
    <t>010285001127</t>
  </si>
  <si>
    <t>Handley Middle School</t>
  </si>
  <si>
    <t>010285001126</t>
  </si>
  <si>
    <t>Handley High School</t>
  </si>
  <si>
    <t>010285001128</t>
  </si>
  <si>
    <t>Knight Enloe Elementary School</t>
  </si>
  <si>
    <t>010291001140</t>
  </si>
  <si>
    <t>Russellville Elementary School</t>
  </si>
  <si>
    <t>010291001143</t>
  </si>
  <si>
    <t>010294001145</t>
  </si>
  <si>
    <t>Caldwell Elementary School</t>
  </si>
  <si>
    <t>010294001587</t>
  </si>
  <si>
    <t>Thurston T Nelson Elementary School</t>
  </si>
  <si>
    <t>010294001148</t>
  </si>
  <si>
    <t>Scottsboro Junior High School</t>
  </si>
  <si>
    <t>010294001486</t>
  </si>
  <si>
    <t>Collins Intermediate School</t>
  </si>
  <si>
    <t>010297001151</t>
  </si>
  <si>
    <t>Clark Elementary School</t>
  </si>
  <si>
    <t>010297000152</t>
  </si>
  <si>
    <t>Sophia P Kingston Elementary School</t>
  </si>
  <si>
    <t>010297001153</t>
  </si>
  <si>
    <t>School Of Discovery Genesis Center</t>
  </si>
  <si>
    <t>010297001154</t>
  </si>
  <si>
    <t>Edgewood Elementary School</t>
  </si>
  <si>
    <t>010297001156</t>
  </si>
  <si>
    <t>Knox Elementary School</t>
  </si>
  <si>
    <t>010297001157</t>
  </si>
  <si>
    <t>Meadowview Elementary School</t>
  </si>
  <si>
    <t>010297001158</t>
  </si>
  <si>
    <t>Payne Elementary School</t>
  </si>
  <si>
    <t>010297001160</t>
  </si>
  <si>
    <t>Selma High School</t>
  </si>
  <si>
    <t>010297001161</t>
  </si>
  <si>
    <t>The R.B.Hudson STEAM Academy</t>
  </si>
  <si>
    <t>010300001167</t>
  </si>
  <si>
    <t>WA Threadgill Primary School</t>
  </si>
  <si>
    <t>010300000160</t>
  </si>
  <si>
    <t>Sheffield Junior High School</t>
  </si>
  <si>
    <t>010300001168</t>
  </si>
  <si>
    <t>L E Willson Elementary School</t>
  </si>
  <si>
    <t>010312001594</t>
  </si>
  <si>
    <t>Indian Valley Elementary School</t>
  </si>
  <si>
    <t>010312002100</t>
  </si>
  <si>
    <t>Nichols-Lawson Middle School</t>
  </si>
  <si>
    <t>010312001199</t>
  </si>
  <si>
    <t>Pinecrest Elementary School</t>
  </si>
  <si>
    <t>010315001201</t>
  </si>
  <si>
    <t>C L Salter Elementary School</t>
  </si>
  <si>
    <t>010315001724</t>
  </si>
  <si>
    <t>Evelyn D Houston Elementary School</t>
  </si>
  <si>
    <t>010315001203</t>
  </si>
  <si>
    <t>Graham Elementary School</t>
  </si>
  <si>
    <t>010315001205</t>
  </si>
  <si>
    <t>Raymond L Young Elementary School</t>
  </si>
  <si>
    <t>010315001207</t>
  </si>
  <si>
    <t>Talladega High School</t>
  </si>
  <si>
    <t>010315001208</t>
  </si>
  <si>
    <t>Zora Ellis Junior High School</t>
  </si>
  <si>
    <t>010324001236</t>
  </si>
  <si>
    <t>Southside Middle School</t>
  </si>
  <si>
    <t>010324001601</t>
  </si>
  <si>
    <t>Tallassee Elementary School</t>
  </si>
  <si>
    <t>010018902196</t>
  </si>
  <si>
    <t>Robert E. Lee Elementary</t>
  </si>
  <si>
    <t>010018902195</t>
  </si>
  <si>
    <t>Satsuma High School</t>
  </si>
  <si>
    <t>010327001239</t>
  </si>
  <si>
    <t>Tarrant Elementary School</t>
  </si>
  <si>
    <t>010327001240</t>
  </si>
  <si>
    <t>Tarrant High School</t>
  </si>
  <si>
    <t>010327002138</t>
  </si>
  <si>
    <t>Tarrant Intermediate School</t>
  </si>
  <si>
    <t>010330001248</t>
  </si>
  <si>
    <t>Thomasville High School</t>
  </si>
  <si>
    <t>010330001247</t>
  </si>
  <si>
    <t>Thomasville Elementary School</t>
  </si>
  <si>
    <t>010330002499</t>
  </si>
  <si>
    <t>Thomasville Middle School</t>
  </si>
  <si>
    <t>010333001602</t>
  </si>
  <si>
    <t>Charles Henderson High School</t>
  </si>
  <si>
    <t>010333001603</t>
  </si>
  <si>
    <t>Charles Henderson Middle</t>
  </si>
  <si>
    <t>010333001807</t>
  </si>
  <si>
    <t>Troy Elementary School</t>
  </si>
  <si>
    <t>010336001250</t>
  </si>
  <si>
    <t>The Alberta School of Performing Arts</t>
  </si>
  <si>
    <t>010336001251</t>
  </si>
  <si>
    <t>Arcadia Elementary School</t>
  </si>
  <si>
    <t>010336001252</t>
  </si>
  <si>
    <t>010336002101</t>
  </si>
  <si>
    <t>Paul W Bryant High School</t>
  </si>
  <si>
    <t>010336001255</t>
  </si>
  <si>
    <t>Eastwood Middle School</t>
  </si>
  <si>
    <t>010336001257</t>
  </si>
  <si>
    <t>Oakdale Elementary School</t>
  </si>
  <si>
    <t>010336001260</t>
  </si>
  <si>
    <t>Skyland Elementary School</t>
  </si>
  <si>
    <t>010336002134</t>
  </si>
  <si>
    <t>Southview Elementary School</t>
  </si>
  <si>
    <t>010336001271</t>
  </si>
  <si>
    <t>Martin L King Jr Elementary School</t>
  </si>
  <si>
    <t>010336001608</t>
  </si>
  <si>
    <t>010336001266</t>
  </si>
  <si>
    <t>University Place Elementary School</t>
  </si>
  <si>
    <t>010336001269</t>
  </si>
  <si>
    <t>Woodland Forrest Elementary School</t>
  </si>
  <si>
    <t>010336001268</t>
  </si>
  <si>
    <t>Westlawn Middle School</t>
  </si>
  <si>
    <t>010342001297</t>
  </si>
  <si>
    <t>Deshler High School</t>
  </si>
  <si>
    <t>010342001298</t>
  </si>
  <si>
    <t>Deshler Middle School</t>
  </si>
  <si>
    <t>010342001299</t>
  </si>
  <si>
    <t>R E Thompson Intermediate School</t>
  </si>
  <si>
    <t>010342001300</t>
  </si>
  <si>
    <t>G W Trenholm Primary School</t>
  </si>
  <si>
    <t>010354001613</t>
  </si>
  <si>
    <t>Winfield Elementary School</t>
  </si>
  <si>
    <t>010354000343</t>
  </si>
  <si>
    <t>Winfield Middle School</t>
  </si>
  <si>
    <t>010019702432</t>
  </si>
  <si>
    <t>010019902452</t>
  </si>
  <si>
    <t>010020302470</t>
  </si>
  <si>
    <t>010020102472</t>
  </si>
  <si>
    <t>010020402476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</si>
</sst>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38" fontId="0" fillId="0" borderId="0" xfId="0" applyNumberFormat="1" applyFill="1"/>
    <xf numFmtId="0" fontId="0" fillId="0" borderId="0" xfId="0" applyFill="1" applyAlignment="1">
      <alignment wrapText="1"/>
    </xf>
    <xf numFmtId="8" fontId="0" fillId="0" borderId="0" xfId="0" applyNumberFormat="1"/>
    <xf numFmtId="0" fontId="0" fillId="0" borderId="0" xfId="0" applyFill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38" fontId="3" fillId="0" borderId="1" xfId="2" applyNumberFormat="1" applyFont="1" applyFill="1" applyBorder="1" applyAlignment="1">
      <alignment horizontal="right" wrapText="1"/>
    </xf>
    <xf numFmtId="0" fontId="0" fillId="0" borderId="1" xfId="0" applyFill="1" applyBorder="1"/>
    <xf numFmtId="40" fontId="0" fillId="0" borderId="1" xfId="0" applyNumberFormat="1" applyFill="1" applyBorder="1"/>
    <xf numFmtId="14" fontId="0" fillId="0" borderId="0" xfId="0" applyNumberFormat="1"/>
    <xf numFmtId="0" fontId="1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40" fontId="1" fillId="0" borderId="1" xfId="1" applyNumberFormat="1" applyFont="1" applyFill="1" applyBorder="1" applyAlignment="1">
      <alignment horizontal="right" wrapText="1"/>
    </xf>
    <xf numFmtId="38" fontId="1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38" fontId="0" fillId="0" borderId="1" xfId="0" applyNumberFormat="1" applyFill="1" applyBorder="1"/>
    <xf numFmtId="4" fontId="0" fillId="2" borderId="1" xfId="0" applyNumberForma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Alignment="1"/>
    <xf numFmtId="164" fontId="0" fillId="0" borderId="0" xfId="0" applyNumberFormat="1" applyAlignment="1">
      <alignment horizontal="center" vertical="center"/>
    </xf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center"/>
    </xf>
    <xf numFmtId="165" fontId="7" fillId="0" borderId="0" xfId="3" applyNumberFormat="1" applyFont="1" applyAlignment="1">
      <alignment horizontal="center"/>
    </xf>
    <xf numFmtId="164" fontId="0" fillId="0" borderId="0" xfId="0" applyNumberFormat="1"/>
    <xf numFmtId="4" fontId="0" fillId="0" borderId="0" xfId="0" applyNumberFormat="1"/>
    <xf numFmtId="165" fontId="0" fillId="0" borderId="0" xfId="3" applyNumberFormat="1" applyFont="1"/>
    <xf numFmtId="0" fontId="5" fillId="0" borderId="1" xfId="0" applyFont="1" applyBorder="1" applyAlignment="1">
      <alignment horizontal="center"/>
    </xf>
  </cellXfs>
  <cellStyles count="4">
    <cellStyle name="Currency" xfId="3" builtinId="4"/>
    <cellStyle name="Normal" xfId="0" builtinId="0"/>
    <cellStyle name="Normal_Sheet1" xfId="1" xr:uid="{95C84B8D-1957-40BB-9A2F-854C6AA775E8}"/>
    <cellStyle name="Normal_Sheet6" xfId="2" xr:uid="{1C0A9B55-4274-43D8-AE64-15FFC282D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AE2AB-11D9-4425-8D03-F85D94EDC41D}">
  <sheetPr>
    <pageSetUpPr fitToPage="1"/>
  </sheetPr>
  <dimension ref="A1:I17"/>
  <sheetViews>
    <sheetView workbookViewId="0">
      <selection activeCell="J16" sqref="J16"/>
    </sheetView>
  </sheetViews>
  <sheetFormatPr defaultRowHeight="14.5" x14ac:dyDescent="0.35"/>
  <cols>
    <col min="2" max="2" width="9.81640625" bestFit="1" customWidth="1"/>
    <col min="9" max="9" width="9.7265625" bestFit="1" customWidth="1"/>
  </cols>
  <sheetData>
    <row r="1" spans="1:9" x14ac:dyDescent="0.35">
      <c r="I1" s="13">
        <v>44407</v>
      </c>
    </row>
    <row r="4" spans="1:9" x14ac:dyDescent="0.35">
      <c r="A4" t="s">
        <v>0</v>
      </c>
    </row>
    <row r="5" spans="1:9" x14ac:dyDescent="0.35">
      <c r="B5" s="4" t="s">
        <v>1</v>
      </c>
    </row>
    <row r="6" spans="1:9" x14ac:dyDescent="0.35">
      <c r="B6" s="4"/>
    </row>
    <row r="8" spans="1:9" x14ac:dyDescent="0.35">
      <c r="A8" t="s">
        <v>2</v>
      </c>
    </row>
    <row r="17" spans="1:1" x14ac:dyDescent="0.35">
      <c r="A17" t="s">
        <v>3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0F01-E490-49E8-96A2-C90B01FD9C39}">
  <dimension ref="A1:C92"/>
  <sheetViews>
    <sheetView workbookViewId="0">
      <selection activeCell="E70" sqref="E70"/>
    </sheetView>
  </sheetViews>
  <sheetFormatPr defaultRowHeight="14.5" x14ac:dyDescent="0.35"/>
  <cols>
    <col min="1" max="1" width="8.26953125" style="27" bestFit="1" customWidth="1"/>
    <col min="2" max="2" width="36.453125" bestFit="1" customWidth="1"/>
  </cols>
  <sheetData>
    <row r="1" spans="1:3" x14ac:dyDescent="0.35">
      <c r="A1" s="37" t="s">
        <v>4</v>
      </c>
      <c r="B1" s="37"/>
      <c r="C1" s="26"/>
    </row>
    <row r="2" spans="1:3" ht="29" x14ac:dyDescent="0.35">
      <c r="A2" s="14" t="s">
        <v>5</v>
      </c>
      <c r="B2" s="14" t="s">
        <v>6</v>
      </c>
      <c r="C2" s="24"/>
    </row>
    <row r="3" spans="1:3" x14ac:dyDescent="0.35">
      <c r="A3" s="28" t="s">
        <v>7</v>
      </c>
      <c r="B3" s="25" t="s">
        <v>8</v>
      </c>
    </row>
    <row r="4" spans="1:3" x14ac:dyDescent="0.35">
      <c r="A4" s="28" t="s">
        <v>9</v>
      </c>
      <c r="B4" s="25" t="s">
        <v>10</v>
      </c>
    </row>
    <row r="5" spans="1:3" x14ac:dyDescent="0.35">
      <c r="A5" s="28" t="s">
        <v>11</v>
      </c>
      <c r="B5" s="25" t="s">
        <v>12</v>
      </c>
    </row>
    <row r="6" spans="1:3" x14ac:dyDescent="0.35">
      <c r="A6" s="28" t="s">
        <v>13</v>
      </c>
      <c r="B6" s="25" t="s">
        <v>14</v>
      </c>
    </row>
    <row r="7" spans="1:3" x14ac:dyDescent="0.35">
      <c r="A7" s="28" t="s">
        <v>15</v>
      </c>
      <c r="B7" s="25" t="s">
        <v>16</v>
      </c>
    </row>
    <row r="8" spans="1:3" x14ac:dyDescent="0.35">
      <c r="A8" s="28" t="s">
        <v>17</v>
      </c>
      <c r="B8" s="25" t="s">
        <v>18</v>
      </c>
    </row>
    <row r="9" spans="1:3" x14ac:dyDescent="0.35">
      <c r="A9" s="28" t="s">
        <v>19</v>
      </c>
      <c r="B9" s="25" t="s">
        <v>20</v>
      </c>
    </row>
    <row r="10" spans="1:3" x14ac:dyDescent="0.35">
      <c r="A10" s="28" t="s">
        <v>21</v>
      </c>
      <c r="B10" s="25" t="s">
        <v>22</v>
      </c>
    </row>
    <row r="11" spans="1:3" x14ac:dyDescent="0.35">
      <c r="A11" s="28" t="s">
        <v>23</v>
      </c>
      <c r="B11" s="25" t="s">
        <v>24</v>
      </c>
    </row>
    <row r="12" spans="1:3" x14ac:dyDescent="0.35">
      <c r="A12" s="28" t="s">
        <v>25</v>
      </c>
      <c r="B12" s="25" t="s">
        <v>26</v>
      </c>
    </row>
    <row r="13" spans="1:3" x14ac:dyDescent="0.35">
      <c r="A13" s="28" t="s">
        <v>27</v>
      </c>
      <c r="B13" s="25" t="s">
        <v>28</v>
      </c>
    </row>
    <row r="14" spans="1:3" x14ac:dyDescent="0.35">
      <c r="A14" s="28" t="s">
        <v>29</v>
      </c>
      <c r="B14" s="25" t="s">
        <v>30</v>
      </c>
    </row>
    <row r="15" spans="1:3" x14ac:dyDescent="0.35">
      <c r="A15" s="28" t="s">
        <v>31</v>
      </c>
      <c r="B15" s="25" t="s">
        <v>32</v>
      </c>
    </row>
    <row r="16" spans="1:3" x14ac:dyDescent="0.35">
      <c r="A16" s="28" t="s">
        <v>33</v>
      </c>
      <c r="B16" s="25" t="s">
        <v>34</v>
      </c>
    </row>
    <row r="17" spans="1:2" x14ac:dyDescent="0.35">
      <c r="A17" s="28" t="s">
        <v>35</v>
      </c>
      <c r="B17" s="25" t="s">
        <v>36</v>
      </c>
    </row>
    <row r="18" spans="1:2" x14ac:dyDescent="0.35">
      <c r="A18" s="28" t="s">
        <v>37</v>
      </c>
      <c r="B18" s="25" t="s">
        <v>38</v>
      </c>
    </row>
    <row r="19" spans="1:2" x14ac:dyDescent="0.35">
      <c r="A19" s="28" t="s">
        <v>39</v>
      </c>
      <c r="B19" s="25" t="s">
        <v>40</v>
      </c>
    </row>
    <row r="20" spans="1:2" x14ac:dyDescent="0.35">
      <c r="A20" s="28" t="s">
        <v>41</v>
      </c>
      <c r="B20" s="25" t="s">
        <v>42</v>
      </c>
    </row>
    <row r="21" spans="1:2" x14ac:dyDescent="0.35">
      <c r="A21" s="28" t="s">
        <v>43</v>
      </c>
      <c r="B21" s="25" t="s">
        <v>44</v>
      </c>
    </row>
    <row r="22" spans="1:2" x14ac:dyDescent="0.35">
      <c r="A22" s="28" t="s">
        <v>45</v>
      </c>
      <c r="B22" s="25" t="s">
        <v>46</v>
      </c>
    </row>
    <row r="23" spans="1:2" x14ac:dyDescent="0.35">
      <c r="A23" s="28" t="s">
        <v>47</v>
      </c>
      <c r="B23" s="25" t="s">
        <v>48</v>
      </c>
    </row>
    <row r="24" spans="1:2" x14ac:dyDescent="0.35">
      <c r="A24" s="28" t="s">
        <v>49</v>
      </c>
      <c r="B24" s="25" t="s">
        <v>50</v>
      </c>
    </row>
    <row r="25" spans="1:2" x14ac:dyDescent="0.35">
      <c r="A25" s="28" t="s">
        <v>51</v>
      </c>
      <c r="B25" s="25" t="s">
        <v>52</v>
      </c>
    </row>
    <row r="26" spans="1:2" x14ac:dyDescent="0.35">
      <c r="A26" s="28" t="s">
        <v>53</v>
      </c>
      <c r="B26" s="25" t="s">
        <v>54</v>
      </c>
    </row>
    <row r="27" spans="1:2" x14ac:dyDescent="0.35">
      <c r="A27" s="28" t="s">
        <v>55</v>
      </c>
      <c r="B27" s="25" t="s">
        <v>56</v>
      </c>
    </row>
    <row r="28" spans="1:2" x14ac:dyDescent="0.35">
      <c r="A28" s="28" t="s">
        <v>57</v>
      </c>
      <c r="B28" s="25" t="s">
        <v>58</v>
      </c>
    </row>
    <row r="29" spans="1:2" x14ac:dyDescent="0.35">
      <c r="A29" s="28" t="s">
        <v>59</v>
      </c>
      <c r="B29" s="25" t="s">
        <v>60</v>
      </c>
    </row>
    <row r="30" spans="1:2" x14ac:dyDescent="0.35">
      <c r="A30" s="28" t="s">
        <v>61</v>
      </c>
      <c r="B30" s="25" t="s">
        <v>62</v>
      </c>
    </row>
    <row r="31" spans="1:2" x14ac:dyDescent="0.35">
      <c r="A31" s="28" t="s">
        <v>63</v>
      </c>
      <c r="B31" s="25" t="s">
        <v>64</v>
      </c>
    </row>
    <row r="32" spans="1:2" x14ac:dyDescent="0.35">
      <c r="A32" s="28" t="s">
        <v>65</v>
      </c>
      <c r="B32" s="25" t="s">
        <v>66</v>
      </c>
    </row>
    <row r="33" spans="1:2" x14ac:dyDescent="0.35">
      <c r="A33" s="28" t="s">
        <v>67</v>
      </c>
      <c r="B33" s="25" t="s">
        <v>68</v>
      </c>
    </row>
    <row r="34" spans="1:2" x14ac:dyDescent="0.35">
      <c r="A34" s="28" t="s">
        <v>69</v>
      </c>
      <c r="B34" s="25" t="s">
        <v>70</v>
      </c>
    </row>
    <row r="35" spans="1:2" x14ac:dyDescent="0.35">
      <c r="A35" s="28" t="s">
        <v>71</v>
      </c>
      <c r="B35" s="25" t="s">
        <v>72</v>
      </c>
    </row>
    <row r="36" spans="1:2" x14ac:dyDescent="0.35">
      <c r="A36" s="28" t="s">
        <v>73</v>
      </c>
      <c r="B36" s="25" t="s">
        <v>74</v>
      </c>
    </row>
    <row r="37" spans="1:2" x14ac:dyDescent="0.35">
      <c r="A37" s="28" t="s">
        <v>75</v>
      </c>
      <c r="B37" s="25" t="s">
        <v>76</v>
      </c>
    </row>
    <row r="38" spans="1:2" x14ac:dyDescent="0.35">
      <c r="A38" s="28" t="s">
        <v>77</v>
      </c>
      <c r="B38" s="25" t="s">
        <v>78</v>
      </c>
    </row>
    <row r="39" spans="1:2" x14ac:dyDescent="0.35">
      <c r="A39" s="28" t="s">
        <v>79</v>
      </c>
      <c r="B39" s="25" t="s">
        <v>80</v>
      </c>
    </row>
    <row r="40" spans="1:2" x14ac:dyDescent="0.35">
      <c r="A40" s="28" t="s">
        <v>81</v>
      </c>
      <c r="B40" s="25" t="s">
        <v>82</v>
      </c>
    </row>
    <row r="41" spans="1:2" x14ac:dyDescent="0.35">
      <c r="A41" s="28" t="s">
        <v>83</v>
      </c>
      <c r="B41" s="25" t="s">
        <v>84</v>
      </c>
    </row>
    <row r="42" spans="1:2" x14ac:dyDescent="0.35">
      <c r="A42" s="28" t="s">
        <v>85</v>
      </c>
      <c r="B42" s="25" t="s">
        <v>86</v>
      </c>
    </row>
    <row r="43" spans="1:2" x14ac:dyDescent="0.35">
      <c r="A43" s="28" t="s">
        <v>87</v>
      </c>
      <c r="B43" s="25" t="s">
        <v>88</v>
      </c>
    </row>
    <row r="44" spans="1:2" x14ac:dyDescent="0.35">
      <c r="A44" s="28" t="s">
        <v>89</v>
      </c>
      <c r="B44" s="25" t="s">
        <v>90</v>
      </c>
    </row>
    <row r="45" spans="1:2" x14ac:dyDescent="0.35">
      <c r="A45" s="28" t="s">
        <v>91</v>
      </c>
      <c r="B45" s="25" t="s">
        <v>92</v>
      </c>
    </row>
    <row r="46" spans="1:2" x14ac:dyDescent="0.35">
      <c r="A46" s="28" t="s">
        <v>93</v>
      </c>
      <c r="B46" s="25" t="s">
        <v>94</v>
      </c>
    </row>
    <row r="47" spans="1:2" x14ac:dyDescent="0.35">
      <c r="A47" s="28" t="s">
        <v>95</v>
      </c>
      <c r="B47" s="25" t="s">
        <v>96</v>
      </c>
    </row>
    <row r="48" spans="1:2" x14ac:dyDescent="0.35">
      <c r="A48" s="28" t="s">
        <v>97</v>
      </c>
      <c r="B48" s="25" t="s">
        <v>98</v>
      </c>
    </row>
    <row r="49" spans="1:2" x14ac:dyDescent="0.35">
      <c r="A49" s="28" t="s">
        <v>99</v>
      </c>
      <c r="B49" s="25" t="s">
        <v>100</v>
      </c>
    </row>
    <row r="50" spans="1:2" x14ac:dyDescent="0.35">
      <c r="A50" s="28" t="s">
        <v>101</v>
      </c>
      <c r="B50" s="25" t="s">
        <v>102</v>
      </c>
    </row>
    <row r="51" spans="1:2" x14ac:dyDescent="0.35">
      <c r="A51" s="28" t="s">
        <v>103</v>
      </c>
      <c r="B51" s="25" t="s">
        <v>104</v>
      </c>
    </row>
    <row r="52" spans="1:2" x14ac:dyDescent="0.35">
      <c r="A52" s="28" t="s">
        <v>105</v>
      </c>
      <c r="B52" s="25" t="s">
        <v>106</v>
      </c>
    </row>
    <row r="53" spans="1:2" x14ac:dyDescent="0.35">
      <c r="A53" s="28" t="s">
        <v>107</v>
      </c>
      <c r="B53" s="25" t="s">
        <v>108</v>
      </c>
    </row>
    <row r="54" spans="1:2" x14ac:dyDescent="0.35">
      <c r="A54" s="28" t="s">
        <v>109</v>
      </c>
      <c r="B54" s="25" t="s">
        <v>110</v>
      </c>
    </row>
    <row r="55" spans="1:2" x14ac:dyDescent="0.35">
      <c r="A55" s="28" t="s">
        <v>111</v>
      </c>
      <c r="B55" s="25" t="s">
        <v>112</v>
      </c>
    </row>
    <row r="56" spans="1:2" x14ac:dyDescent="0.35">
      <c r="A56" s="28" t="s">
        <v>113</v>
      </c>
      <c r="B56" s="25" t="s">
        <v>114</v>
      </c>
    </row>
    <row r="57" spans="1:2" x14ac:dyDescent="0.35">
      <c r="A57" s="28" t="s">
        <v>115</v>
      </c>
      <c r="B57" s="25" t="s">
        <v>116</v>
      </c>
    </row>
    <row r="58" spans="1:2" x14ac:dyDescent="0.35">
      <c r="A58" s="28" t="s">
        <v>117</v>
      </c>
      <c r="B58" s="25" t="s">
        <v>118</v>
      </c>
    </row>
    <row r="59" spans="1:2" x14ac:dyDescent="0.35">
      <c r="A59" s="28" t="s">
        <v>119</v>
      </c>
      <c r="B59" s="25" t="s">
        <v>120</v>
      </c>
    </row>
    <row r="60" spans="1:2" x14ac:dyDescent="0.35">
      <c r="A60" s="28" t="s">
        <v>121</v>
      </c>
      <c r="B60" s="25" t="s">
        <v>122</v>
      </c>
    </row>
    <row r="61" spans="1:2" x14ac:dyDescent="0.35">
      <c r="A61" s="28" t="s">
        <v>123</v>
      </c>
      <c r="B61" s="25" t="s">
        <v>124</v>
      </c>
    </row>
    <row r="62" spans="1:2" x14ac:dyDescent="0.35">
      <c r="A62" s="28" t="s">
        <v>125</v>
      </c>
      <c r="B62" s="25" t="s">
        <v>126</v>
      </c>
    </row>
    <row r="63" spans="1:2" x14ac:dyDescent="0.35">
      <c r="A63" s="28" t="s">
        <v>127</v>
      </c>
      <c r="B63" s="25" t="s">
        <v>128</v>
      </c>
    </row>
    <row r="64" spans="1:2" x14ac:dyDescent="0.35">
      <c r="A64" s="28" t="s">
        <v>129</v>
      </c>
      <c r="B64" s="25" t="s">
        <v>130</v>
      </c>
    </row>
    <row r="65" spans="1:2" x14ac:dyDescent="0.35">
      <c r="A65" s="28" t="s">
        <v>131</v>
      </c>
      <c r="B65" s="25" t="s">
        <v>132</v>
      </c>
    </row>
    <row r="66" spans="1:2" x14ac:dyDescent="0.35">
      <c r="A66" s="28" t="s">
        <v>133</v>
      </c>
      <c r="B66" s="25" t="s">
        <v>134</v>
      </c>
    </row>
    <row r="67" spans="1:2" x14ac:dyDescent="0.35">
      <c r="A67" s="28" t="s">
        <v>135</v>
      </c>
      <c r="B67" s="25" t="s">
        <v>136</v>
      </c>
    </row>
    <row r="68" spans="1:2" x14ac:dyDescent="0.35">
      <c r="A68" s="28" t="s">
        <v>137</v>
      </c>
      <c r="B68" s="25" t="s">
        <v>138</v>
      </c>
    </row>
    <row r="69" spans="1:2" x14ac:dyDescent="0.35">
      <c r="A69" s="28" t="s">
        <v>139</v>
      </c>
      <c r="B69" s="25" t="s">
        <v>140</v>
      </c>
    </row>
    <row r="70" spans="1:2" x14ac:dyDescent="0.35">
      <c r="A70" s="28" t="s">
        <v>141</v>
      </c>
      <c r="B70" s="25" t="s">
        <v>142</v>
      </c>
    </row>
    <row r="71" spans="1:2" x14ac:dyDescent="0.35">
      <c r="A71" s="28" t="s">
        <v>143</v>
      </c>
      <c r="B71" s="25" t="s">
        <v>144</v>
      </c>
    </row>
    <row r="72" spans="1:2" x14ac:dyDescent="0.35">
      <c r="A72" s="28" t="s">
        <v>145</v>
      </c>
      <c r="B72" s="25" t="s">
        <v>146</v>
      </c>
    </row>
    <row r="73" spans="1:2" x14ac:dyDescent="0.35">
      <c r="A73" s="28" t="s">
        <v>147</v>
      </c>
      <c r="B73" s="25" t="s">
        <v>148</v>
      </c>
    </row>
    <row r="74" spans="1:2" x14ac:dyDescent="0.35">
      <c r="A74" s="28" t="s">
        <v>149</v>
      </c>
      <c r="B74" s="25" t="s">
        <v>150</v>
      </c>
    </row>
    <row r="75" spans="1:2" x14ac:dyDescent="0.35">
      <c r="A75" s="28" t="s">
        <v>151</v>
      </c>
      <c r="B75" s="25" t="s">
        <v>152</v>
      </c>
    </row>
    <row r="76" spans="1:2" x14ac:dyDescent="0.35">
      <c r="A76" s="28" t="s">
        <v>153</v>
      </c>
      <c r="B76" s="25" t="s">
        <v>154</v>
      </c>
    </row>
    <row r="77" spans="1:2" x14ac:dyDescent="0.35">
      <c r="A77" s="28" t="s">
        <v>155</v>
      </c>
      <c r="B77" s="25" t="s">
        <v>156</v>
      </c>
    </row>
    <row r="78" spans="1:2" x14ac:dyDescent="0.35">
      <c r="A78" s="28" t="s">
        <v>157</v>
      </c>
      <c r="B78" s="25" t="s">
        <v>158</v>
      </c>
    </row>
    <row r="79" spans="1:2" x14ac:dyDescent="0.35">
      <c r="A79" s="28" t="s">
        <v>159</v>
      </c>
      <c r="B79" s="25" t="s">
        <v>160</v>
      </c>
    </row>
    <row r="80" spans="1:2" x14ac:dyDescent="0.35">
      <c r="A80" s="28" t="s">
        <v>161</v>
      </c>
      <c r="B80" s="25" t="s">
        <v>162</v>
      </c>
    </row>
    <row r="81" spans="1:2" x14ac:dyDescent="0.35">
      <c r="A81" s="28" t="s">
        <v>163</v>
      </c>
      <c r="B81" s="25" t="s">
        <v>164</v>
      </c>
    </row>
    <row r="82" spans="1:2" x14ac:dyDescent="0.35">
      <c r="A82" s="28" t="s">
        <v>165</v>
      </c>
      <c r="B82" s="25" t="s">
        <v>166</v>
      </c>
    </row>
    <row r="83" spans="1:2" x14ac:dyDescent="0.35">
      <c r="A83" s="28" t="s">
        <v>167</v>
      </c>
      <c r="B83" s="25" t="s">
        <v>168</v>
      </c>
    </row>
    <row r="84" spans="1:2" x14ac:dyDescent="0.35">
      <c r="A84" s="28" t="s">
        <v>169</v>
      </c>
      <c r="B84" s="25" t="s">
        <v>170</v>
      </c>
    </row>
    <row r="85" spans="1:2" x14ac:dyDescent="0.35">
      <c r="A85" s="28" t="s">
        <v>171</v>
      </c>
      <c r="B85" s="25" t="s">
        <v>172</v>
      </c>
    </row>
    <row r="86" spans="1:2" x14ac:dyDescent="0.35">
      <c r="A86" s="28" t="s">
        <v>173</v>
      </c>
      <c r="B86" s="25" t="s">
        <v>174</v>
      </c>
    </row>
    <row r="87" spans="1:2" x14ac:dyDescent="0.35">
      <c r="A87" s="28" t="s">
        <v>175</v>
      </c>
      <c r="B87" s="25" t="s">
        <v>176</v>
      </c>
    </row>
    <row r="88" spans="1:2" x14ac:dyDescent="0.35">
      <c r="A88" s="28" t="s">
        <v>177</v>
      </c>
      <c r="B88" s="25" t="s">
        <v>178</v>
      </c>
    </row>
    <row r="89" spans="1:2" x14ac:dyDescent="0.35">
      <c r="A89" s="28" t="s">
        <v>179</v>
      </c>
      <c r="B89" s="25" t="s">
        <v>180</v>
      </c>
    </row>
    <row r="90" spans="1:2" x14ac:dyDescent="0.35">
      <c r="A90" s="28" t="s">
        <v>157</v>
      </c>
      <c r="B90" s="25" t="s">
        <v>158</v>
      </c>
    </row>
    <row r="91" spans="1:2" x14ac:dyDescent="0.35">
      <c r="A91" s="28" t="s">
        <v>181</v>
      </c>
      <c r="B91" s="25" t="s">
        <v>182</v>
      </c>
    </row>
    <row r="92" spans="1:2" x14ac:dyDescent="0.35">
      <c r="A92" s="28" t="s">
        <v>183</v>
      </c>
      <c r="B92" s="25" t="s">
        <v>184</v>
      </c>
    </row>
  </sheetData>
  <mergeCells count="1">
    <mergeCell ref="A1:B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229E-2AE1-4B7F-B6E3-E0CBCD6D5D7E}">
  <dimension ref="A1:E146"/>
  <sheetViews>
    <sheetView workbookViewId="0">
      <selection activeCell="H135" sqref="H135"/>
    </sheetView>
  </sheetViews>
  <sheetFormatPr defaultColWidth="9.1796875" defaultRowHeight="14.5" x14ac:dyDescent="0.35"/>
  <cols>
    <col min="1" max="1" width="8.26953125" style="1" bestFit="1" customWidth="1"/>
    <col min="2" max="2" width="23.7265625" style="1" bestFit="1" customWidth="1"/>
    <col min="3" max="3" width="10.81640625" style="1" bestFit="1" customWidth="1"/>
    <col min="4" max="4" width="13.54296875" style="1" bestFit="1" customWidth="1"/>
    <col min="5" max="5" width="8.81640625" style="1" bestFit="1" customWidth="1"/>
    <col min="6" max="16384" width="9.1796875" style="1"/>
  </cols>
  <sheetData>
    <row r="1" spans="1:5" s="3" customFormat="1" ht="43.5" x14ac:dyDescent="0.35">
      <c r="A1" s="14" t="s">
        <v>5</v>
      </c>
      <c r="B1" s="14" t="s">
        <v>6</v>
      </c>
      <c r="C1" s="15" t="s">
        <v>185</v>
      </c>
      <c r="D1" s="15" t="s">
        <v>186</v>
      </c>
      <c r="E1" s="16" t="s">
        <v>187</v>
      </c>
    </row>
    <row r="2" spans="1:5" x14ac:dyDescent="0.35">
      <c r="A2" s="28" t="s">
        <v>188</v>
      </c>
      <c r="B2" s="17" t="s">
        <v>189</v>
      </c>
      <c r="C2" s="18">
        <v>8773.5</v>
      </c>
      <c r="D2" s="19">
        <v>48287155</v>
      </c>
      <c r="E2" s="12">
        <f>D2/C2</f>
        <v>5503.75049866074</v>
      </c>
    </row>
    <row r="3" spans="1:5" x14ac:dyDescent="0.35">
      <c r="A3" s="28" t="s">
        <v>190</v>
      </c>
      <c r="B3" s="17" t="s">
        <v>191</v>
      </c>
      <c r="C3" s="18">
        <v>29554.95</v>
      </c>
      <c r="D3" s="19">
        <v>144906987</v>
      </c>
      <c r="E3" s="12">
        <f t="shared" ref="E3:E66" si="0">D3/C3</f>
        <v>4902.9684367593245</v>
      </c>
    </row>
    <row r="4" spans="1:5" x14ac:dyDescent="0.35">
      <c r="A4" s="28" t="s">
        <v>61</v>
      </c>
      <c r="B4" s="17" t="s">
        <v>62</v>
      </c>
      <c r="C4" s="18">
        <v>646.70000000000005</v>
      </c>
      <c r="D4" s="19">
        <v>2990560</v>
      </c>
      <c r="E4" s="12">
        <f t="shared" si="0"/>
        <v>4624.3389516004327</v>
      </c>
    </row>
    <row r="5" spans="1:5" x14ac:dyDescent="0.35">
      <c r="A5" s="28" t="s">
        <v>109</v>
      </c>
      <c r="B5" s="17" t="s">
        <v>110</v>
      </c>
      <c r="C5" s="18">
        <v>3052.15</v>
      </c>
      <c r="D5" s="19">
        <v>19371462</v>
      </c>
      <c r="E5" s="12">
        <f t="shared" si="0"/>
        <v>6346.8250249823896</v>
      </c>
    </row>
    <row r="6" spans="1:5" x14ac:dyDescent="0.35">
      <c r="A6" s="28" t="s">
        <v>155</v>
      </c>
      <c r="B6" s="17" t="s">
        <v>156</v>
      </c>
      <c r="C6" s="18">
        <v>7612.05</v>
      </c>
      <c r="D6" s="19">
        <v>44501693</v>
      </c>
      <c r="E6" s="12">
        <f t="shared" si="0"/>
        <v>5846.2165908001125</v>
      </c>
    </row>
    <row r="7" spans="1:5" x14ac:dyDescent="0.35">
      <c r="A7" s="28" t="s">
        <v>65</v>
      </c>
      <c r="B7" s="17" t="s">
        <v>66</v>
      </c>
      <c r="C7" s="18">
        <v>1386.5</v>
      </c>
      <c r="D7" s="19">
        <v>8358327</v>
      </c>
      <c r="E7" s="12">
        <f t="shared" si="0"/>
        <v>6028.3642264695272</v>
      </c>
    </row>
    <row r="8" spans="1:5" x14ac:dyDescent="0.35">
      <c r="A8" s="28" t="s">
        <v>13</v>
      </c>
      <c r="B8" s="17" t="s">
        <v>14</v>
      </c>
      <c r="C8" s="18">
        <v>2825.3</v>
      </c>
      <c r="D8" s="19">
        <v>15824613</v>
      </c>
      <c r="E8" s="12">
        <f t="shared" si="0"/>
        <v>5601.0381198456798</v>
      </c>
    </row>
    <row r="9" spans="1:5" x14ac:dyDescent="0.35">
      <c r="A9" s="28" t="s">
        <v>107</v>
      </c>
      <c r="B9" s="17" t="s">
        <v>108</v>
      </c>
      <c r="C9" s="18">
        <v>7817.05</v>
      </c>
      <c r="D9" s="19">
        <v>47869517</v>
      </c>
      <c r="E9" s="12">
        <f t="shared" si="0"/>
        <v>6123.7317146493879</v>
      </c>
    </row>
    <row r="10" spans="1:5" x14ac:dyDescent="0.35">
      <c r="A10" s="28" t="s">
        <v>192</v>
      </c>
      <c r="B10" s="17" t="s">
        <v>193</v>
      </c>
      <c r="C10" s="18">
        <v>3259.7</v>
      </c>
      <c r="D10" s="19">
        <v>18213201</v>
      </c>
      <c r="E10" s="12">
        <f t="shared" si="0"/>
        <v>5587.3856489861037</v>
      </c>
    </row>
    <row r="11" spans="1:5" x14ac:dyDescent="0.35">
      <c r="A11" s="28" t="s">
        <v>101</v>
      </c>
      <c r="B11" s="17" t="s">
        <v>102</v>
      </c>
      <c r="C11" s="18">
        <v>3686.15</v>
      </c>
      <c r="D11" s="19">
        <v>21398029</v>
      </c>
      <c r="E11" s="12">
        <f t="shared" si="0"/>
        <v>5804.980535246802</v>
      </c>
    </row>
    <row r="12" spans="1:5" x14ac:dyDescent="0.35">
      <c r="A12" s="28" t="s">
        <v>69</v>
      </c>
      <c r="B12" s="17" t="s">
        <v>70</v>
      </c>
      <c r="C12" s="18">
        <v>7396.95</v>
      </c>
      <c r="D12" s="19">
        <v>42280015</v>
      </c>
      <c r="E12" s="12">
        <f t="shared" si="0"/>
        <v>5715.8714064580672</v>
      </c>
    </row>
    <row r="13" spans="1:5" x14ac:dyDescent="0.35">
      <c r="A13" s="28" t="s">
        <v>133</v>
      </c>
      <c r="B13" s="17" t="s">
        <v>134</v>
      </c>
      <c r="C13" s="18">
        <v>1070.75</v>
      </c>
      <c r="D13" s="19">
        <v>5197308</v>
      </c>
      <c r="E13" s="12">
        <f t="shared" si="0"/>
        <v>4853.8949334578565</v>
      </c>
    </row>
    <row r="14" spans="1:5" x14ac:dyDescent="0.35">
      <c r="A14" s="28" t="s">
        <v>194</v>
      </c>
      <c r="B14" s="17" t="s">
        <v>195</v>
      </c>
      <c r="C14" s="18">
        <v>2230.8000000000002</v>
      </c>
      <c r="D14" s="19">
        <v>12648077</v>
      </c>
      <c r="E14" s="12">
        <f t="shared" si="0"/>
        <v>5669.7494172494171</v>
      </c>
    </row>
    <row r="15" spans="1:5" x14ac:dyDescent="0.35">
      <c r="A15" s="28" t="s">
        <v>83</v>
      </c>
      <c r="B15" s="17" t="s">
        <v>84</v>
      </c>
      <c r="C15" s="18">
        <v>1794.95</v>
      </c>
      <c r="D15" s="19">
        <v>11049112</v>
      </c>
      <c r="E15" s="12">
        <f t="shared" si="0"/>
        <v>6155.6656174266691</v>
      </c>
    </row>
    <row r="16" spans="1:5" x14ac:dyDescent="0.35">
      <c r="A16" s="28" t="s">
        <v>143</v>
      </c>
      <c r="B16" s="17" t="s">
        <v>144</v>
      </c>
      <c r="C16" s="18">
        <v>2436.1</v>
      </c>
      <c r="D16" s="19">
        <v>15171092</v>
      </c>
      <c r="E16" s="12">
        <f t="shared" si="0"/>
        <v>6227.6146299412994</v>
      </c>
    </row>
    <row r="17" spans="1:5" x14ac:dyDescent="0.35">
      <c r="A17" s="28" t="s">
        <v>137</v>
      </c>
      <c r="B17" s="17" t="s">
        <v>138</v>
      </c>
      <c r="C17" s="18">
        <v>2569.9499999999998</v>
      </c>
      <c r="D17" s="19">
        <v>14301358</v>
      </c>
      <c r="E17" s="12">
        <f t="shared" si="0"/>
        <v>5564.8390046498962</v>
      </c>
    </row>
    <row r="18" spans="1:5" x14ac:dyDescent="0.35">
      <c r="A18" s="28" t="s">
        <v>23</v>
      </c>
      <c r="B18" s="17" t="s">
        <v>24</v>
      </c>
      <c r="C18" s="18">
        <v>2498.65</v>
      </c>
      <c r="D18" s="19">
        <v>13027470</v>
      </c>
      <c r="E18" s="12">
        <f t="shared" si="0"/>
        <v>5213.8034538650872</v>
      </c>
    </row>
    <row r="19" spans="1:5" x14ac:dyDescent="0.35">
      <c r="A19" s="28" t="s">
        <v>196</v>
      </c>
      <c r="B19" s="17" t="s">
        <v>197</v>
      </c>
      <c r="C19" s="18">
        <v>1579.85</v>
      </c>
      <c r="D19" s="19">
        <v>10874621</v>
      </c>
      <c r="E19" s="12">
        <f t="shared" si="0"/>
        <v>6883.3249992087858</v>
      </c>
    </row>
    <row r="20" spans="1:5" x14ac:dyDescent="0.35">
      <c r="A20" s="28" t="s">
        <v>198</v>
      </c>
      <c r="B20" s="17" t="s">
        <v>199</v>
      </c>
      <c r="C20" s="18">
        <v>780.25</v>
      </c>
      <c r="D20" s="19">
        <v>3455984</v>
      </c>
      <c r="E20" s="12">
        <f t="shared" si="0"/>
        <v>4429.3290611983339</v>
      </c>
    </row>
    <row r="21" spans="1:5" x14ac:dyDescent="0.35">
      <c r="A21" s="28" t="s">
        <v>119</v>
      </c>
      <c r="B21" s="17" t="s">
        <v>120</v>
      </c>
      <c r="C21" s="18">
        <v>2755.1</v>
      </c>
      <c r="D21" s="19">
        <v>16313072</v>
      </c>
      <c r="E21" s="12">
        <f t="shared" si="0"/>
        <v>5921.0453341076554</v>
      </c>
    </row>
    <row r="22" spans="1:5" x14ac:dyDescent="0.35">
      <c r="A22" s="28" t="s">
        <v>200</v>
      </c>
      <c r="B22" s="17" t="s">
        <v>201</v>
      </c>
      <c r="C22" s="18">
        <v>2140.15</v>
      </c>
      <c r="D22" s="19">
        <v>12271200</v>
      </c>
      <c r="E22" s="12">
        <f t="shared" si="0"/>
        <v>5733.8037053477556</v>
      </c>
    </row>
    <row r="23" spans="1:5" x14ac:dyDescent="0.35">
      <c r="A23" s="28" t="s">
        <v>127</v>
      </c>
      <c r="B23" s="17" t="s">
        <v>128</v>
      </c>
      <c r="C23" s="18">
        <v>9185.0499999999993</v>
      </c>
      <c r="D23" s="19">
        <v>53858883</v>
      </c>
      <c r="E23" s="12">
        <f t="shared" si="0"/>
        <v>5863.7550149427607</v>
      </c>
    </row>
    <row r="24" spans="1:5" x14ac:dyDescent="0.35">
      <c r="A24" s="28" t="s">
        <v>125</v>
      </c>
      <c r="B24" s="17" t="s">
        <v>126</v>
      </c>
      <c r="C24" s="18">
        <v>3381.4</v>
      </c>
      <c r="D24" s="19">
        <v>20284382</v>
      </c>
      <c r="E24" s="12">
        <f t="shared" si="0"/>
        <v>5998.8117347844091</v>
      </c>
    </row>
    <row r="25" spans="1:5" x14ac:dyDescent="0.35">
      <c r="A25" s="28" t="s">
        <v>55</v>
      </c>
      <c r="B25" s="17" t="s">
        <v>56</v>
      </c>
      <c r="C25" s="18">
        <v>2738.3</v>
      </c>
      <c r="D25" s="19">
        <v>17498036</v>
      </c>
      <c r="E25" s="12">
        <f t="shared" si="0"/>
        <v>6390.1091918343491</v>
      </c>
    </row>
    <row r="26" spans="1:5" x14ac:dyDescent="0.35">
      <c r="A26" s="28" t="s">
        <v>135</v>
      </c>
      <c r="B26" s="17" t="s">
        <v>136</v>
      </c>
      <c r="C26" s="18">
        <v>8332.75</v>
      </c>
      <c r="D26" s="19">
        <v>51464102</v>
      </c>
      <c r="E26" s="12">
        <f t="shared" si="0"/>
        <v>6176.1245687198107</v>
      </c>
    </row>
    <row r="27" spans="1:5" x14ac:dyDescent="0.35">
      <c r="A27" s="28" t="s">
        <v>202</v>
      </c>
      <c r="B27" s="17" t="s">
        <v>203</v>
      </c>
      <c r="C27" s="18">
        <v>11495.6</v>
      </c>
      <c r="D27" s="19">
        <v>61453074</v>
      </c>
      <c r="E27" s="12">
        <f t="shared" si="0"/>
        <v>5345.7909113051946</v>
      </c>
    </row>
    <row r="28" spans="1:5" x14ac:dyDescent="0.35">
      <c r="A28" s="28" t="s">
        <v>204</v>
      </c>
      <c r="B28" s="17" t="s">
        <v>205</v>
      </c>
      <c r="C28" s="18">
        <v>4074.35</v>
      </c>
      <c r="D28" s="19">
        <v>22246006</v>
      </c>
      <c r="E28" s="12">
        <f t="shared" si="0"/>
        <v>5460.0134990857441</v>
      </c>
    </row>
    <row r="29" spans="1:5" x14ac:dyDescent="0.35">
      <c r="A29" s="28" t="s">
        <v>206</v>
      </c>
      <c r="B29" s="17" t="s">
        <v>207</v>
      </c>
      <c r="C29" s="18">
        <v>8269.5499999999993</v>
      </c>
      <c r="D29" s="19">
        <v>49850028</v>
      </c>
      <c r="E29" s="12">
        <f t="shared" si="0"/>
        <v>6028.1427647211767</v>
      </c>
    </row>
    <row r="30" spans="1:5" x14ac:dyDescent="0.35">
      <c r="A30" s="28" t="s">
        <v>103</v>
      </c>
      <c r="B30" s="17" t="s">
        <v>104</v>
      </c>
      <c r="C30" s="18">
        <v>2126</v>
      </c>
      <c r="D30" s="19">
        <v>12654895</v>
      </c>
      <c r="E30" s="12">
        <f t="shared" si="0"/>
        <v>5952.4435559736594</v>
      </c>
    </row>
    <row r="31" spans="1:5" x14ac:dyDescent="0.35">
      <c r="A31" s="28" t="s">
        <v>147</v>
      </c>
      <c r="B31" s="17" t="s">
        <v>148</v>
      </c>
      <c r="C31" s="18">
        <v>3490.65</v>
      </c>
      <c r="D31" s="19">
        <v>21554420</v>
      </c>
      <c r="E31" s="12">
        <f t="shared" si="0"/>
        <v>6174.9015226390502</v>
      </c>
    </row>
    <row r="32" spans="1:5" x14ac:dyDescent="0.35">
      <c r="A32" s="28" t="s">
        <v>85</v>
      </c>
      <c r="B32" s="17" t="s">
        <v>86</v>
      </c>
      <c r="C32" s="18">
        <v>2538.85</v>
      </c>
      <c r="D32" s="19">
        <v>15723305</v>
      </c>
      <c r="E32" s="12">
        <f t="shared" si="0"/>
        <v>6193.0815132835733</v>
      </c>
    </row>
    <row r="33" spans="1:5" x14ac:dyDescent="0.35">
      <c r="A33" s="28" t="s">
        <v>75</v>
      </c>
      <c r="B33" s="17" t="s">
        <v>76</v>
      </c>
      <c r="C33" s="18">
        <v>913.05</v>
      </c>
      <c r="D33" s="19">
        <v>5006997</v>
      </c>
      <c r="E33" s="12">
        <f t="shared" si="0"/>
        <v>5483.8146870379496</v>
      </c>
    </row>
    <row r="34" spans="1:5" x14ac:dyDescent="0.35">
      <c r="A34" s="28" t="s">
        <v>43</v>
      </c>
      <c r="B34" s="17" t="s">
        <v>44</v>
      </c>
      <c r="C34" s="18">
        <v>2270.9499999999998</v>
      </c>
      <c r="D34" s="19">
        <v>13669194</v>
      </c>
      <c r="E34" s="12">
        <f t="shared" si="0"/>
        <v>6019.1523371276344</v>
      </c>
    </row>
    <row r="35" spans="1:5" x14ac:dyDescent="0.35">
      <c r="A35" s="28" t="s">
        <v>208</v>
      </c>
      <c r="B35" s="17" t="s">
        <v>209</v>
      </c>
      <c r="C35" s="18">
        <v>2399.9499999999998</v>
      </c>
      <c r="D35" s="19">
        <v>14232613</v>
      </c>
      <c r="E35" s="12">
        <f t="shared" si="0"/>
        <v>5930.3789662284635</v>
      </c>
    </row>
    <row r="36" spans="1:5" x14ac:dyDescent="0.35">
      <c r="A36" s="28" t="s">
        <v>179</v>
      </c>
      <c r="B36" s="17" t="s">
        <v>180</v>
      </c>
      <c r="C36" s="18">
        <v>6177.6</v>
      </c>
      <c r="D36" s="19">
        <v>33410070</v>
      </c>
      <c r="E36" s="12">
        <f t="shared" si="0"/>
        <v>5408.2604895104896</v>
      </c>
    </row>
    <row r="37" spans="1:5" x14ac:dyDescent="0.35">
      <c r="A37" s="28" t="s">
        <v>210</v>
      </c>
      <c r="B37" s="17" t="s">
        <v>211</v>
      </c>
      <c r="C37" s="18">
        <v>4971.1000000000004</v>
      </c>
      <c r="D37" s="19">
        <v>28374604</v>
      </c>
      <c r="E37" s="12">
        <f t="shared" si="0"/>
        <v>5707.9125344491158</v>
      </c>
    </row>
    <row r="38" spans="1:5" x14ac:dyDescent="0.35">
      <c r="A38" s="28" t="s">
        <v>87</v>
      </c>
      <c r="B38" s="17" t="s">
        <v>88</v>
      </c>
      <c r="C38" s="18">
        <v>34576.1</v>
      </c>
      <c r="D38" s="19">
        <v>193459257</v>
      </c>
      <c r="E38" s="12">
        <f t="shared" si="0"/>
        <v>5595.1728795323943</v>
      </c>
    </row>
    <row r="39" spans="1:5" x14ac:dyDescent="0.35">
      <c r="A39" s="28" t="s">
        <v>115</v>
      </c>
      <c r="B39" s="17" t="s">
        <v>116</v>
      </c>
      <c r="C39" s="18">
        <v>2190.5500000000002</v>
      </c>
      <c r="D39" s="19">
        <v>13160486</v>
      </c>
      <c r="E39" s="12">
        <f t="shared" si="0"/>
        <v>6007.8455182488415</v>
      </c>
    </row>
    <row r="40" spans="1:5" x14ac:dyDescent="0.35">
      <c r="A40" s="28" t="s">
        <v>212</v>
      </c>
      <c r="B40" s="17" t="s">
        <v>213</v>
      </c>
      <c r="C40" s="18">
        <v>7678.15</v>
      </c>
      <c r="D40" s="19">
        <v>43959686</v>
      </c>
      <c r="E40" s="12">
        <f t="shared" si="0"/>
        <v>5725.2965883708966</v>
      </c>
    </row>
    <row r="41" spans="1:5" x14ac:dyDescent="0.35">
      <c r="A41" s="28" t="s">
        <v>214</v>
      </c>
      <c r="B41" s="17" t="s">
        <v>215</v>
      </c>
      <c r="C41" s="18">
        <v>4599.7</v>
      </c>
      <c r="D41" s="19">
        <v>26815098</v>
      </c>
      <c r="E41" s="12">
        <f t="shared" si="0"/>
        <v>5829.7493314781404</v>
      </c>
    </row>
    <row r="42" spans="1:5" x14ac:dyDescent="0.35">
      <c r="A42" s="28" t="s">
        <v>175</v>
      </c>
      <c r="B42" s="17" t="s">
        <v>176</v>
      </c>
      <c r="C42" s="18">
        <v>9065.7000000000007</v>
      </c>
      <c r="D42" s="19">
        <v>50723328</v>
      </c>
      <c r="E42" s="12">
        <f t="shared" si="0"/>
        <v>5595.0812402792944</v>
      </c>
    </row>
    <row r="43" spans="1:5" x14ac:dyDescent="0.35">
      <c r="A43" s="28" t="s">
        <v>216</v>
      </c>
      <c r="B43" s="17" t="s">
        <v>217</v>
      </c>
      <c r="C43" s="18">
        <v>12638.25</v>
      </c>
      <c r="D43" s="19">
        <v>63916459</v>
      </c>
      <c r="E43" s="12">
        <f t="shared" si="0"/>
        <v>5057.3820742586986</v>
      </c>
    </row>
    <row r="44" spans="1:5" x14ac:dyDescent="0.35">
      <c r="A44" s="28" t="s">
        <v>27</v>
      </c>
      <c r="B44" s="17" t="s">
        <v>28</v>
      </c>
      <c r="C44" s="18">
        <v>1306.05</v>
      </c>
      <c r="D44" s="19">
        <v>7625627</v>
      </c>
      <c r="E44" s="12">
        <f t="shared" si="0"/>
        <v>5838.6945369625973</v>
      </c>
    </row>
    <row r="45" spans="1:5" x14ac:dyDescent="0.35">
      <c r="A45" s="28" t="s">
        <v>105</v>
      </c>
      <c r="B45" s="17" t="s">
        <v>106</v>
      </c>
      <c r="C45" s="18">
        <v>1897.15</v>
      </c>
      <c r="D45" s="19">
        <v>11519743</v>
      </c>
      <c r="E45" s="12">
        <f t="shared" si="0"/>
        <v>6072.130827820678</v>
      </c>
    </row>
    <row r="46" spans="1:5" x14ac:dyDescent="0.35">
      <c r="A46" s="28" t="s">
        <v>218</v>
      </c>
      <c r="B46" s="17" t="s">
        <v>219</v>
      </c>
      <c r="C46" s="18">
        <v>18753.7</v>
      </c>
      <c r="D46" s="19">
        <v>105780375</v>
      </c>
      <c r="E46" s="12">
        <f t="shared" si="0"/>
        <v>5640.5069399638469</v>
      </c>
    </row>
    <row r="47" spans="1:5" x14ac:dyDescent="0.35">
      <c r="A47" s="28" t="s">
        <v>17</v>
      </c>
      <c r="B47" s="17" t="s">
        <v>18</v>
      </c>
      <c r="C47" s="18">
        <v>912.15</v>
      </c>
      <c r="D47" s="19">
        <v>5135982</v>
      </c>
      <c r="E47" s="12">
        <f t="shared" si="0"/>
        <v>5630.6331195527055</v>
      </c>
    </row>
    <row r="48" spans="1:5" x14ac:dyDescent="0.35">
      <c r="A48" s="28" t="s">
        <v>163</v>
      </c>
      <c r="B48" s="17" t="s">
        <v>164</v>
      </c>
      <c r="C48" s="18">
        <v>3190.85</v>
      </c>
      <c r="D48" s="19">
        <v>18585384</v>
      </c>
      <c r="E48" s="12">
        <f t="shared" si="0"/>
        <v>5824.5871789648527</v>
      </c>
    </row>
    <row r="49" spans="1:5" x14ac:dyDescent="0.35">
      <c r="A49" s="28" t="s">
        <v>111</v>
      </c>
      <c r="B49" s="17" t="s">
        <v>112</v>
      </c>
      <c r="C49" s="18">
        <v>5528.45</v>
      </c>
      <c r="D49" s="19">
        <v>32356456</v>
      </c>
      <c r="E49" s="12">
        <f t="shared" si="0"/>
        <v>5852.7174886270113</v>
      </c>
    </row>
    <row r="50" spans="1:5" x14ac:dyDescent="0.35">
      <c r="A50" s="28" t="s">
        <v>183</v>
      </c>
      <c r="B50" s="17" t="s">
        <v>184</v>
      </c>
      <c r="C50" s="18">
        <v>51299.75</v>
      </c>
      <c r="D50" s="19">
        <v>273470885</v>
      </c>
      <c r="E50" s="12">
        <f t="shared" si="0"/>
        <v>5330.8424504992718</v>
      </c>
    </row>
    <row r="51" spans="1:5" x14ac:dyDescent="0.35">
      <c r="A51" s="28" t="s">
        <v>145</v>
      </c>
      <c r="B51" s="17" t="s">
        <v>146</v>
      </c>
      <c r="C51" s="18">
        <v>3056.6</v>
      </c>
      <c r="D51" s="19">
        <v>17585517</v>
      </c>
      <c r="E51" s="12">
        <f t="shared" si="0"/>
        <v>5753.2935287574428</v>
      </c>
    </row>
    <row r="52" spans="1:5" x14ac:dyDescent="0.35">
      <c r="A52" s="28" t="s">
        <v>151</v>
      </c>
      <c r="B52" s="17" t="s">
        <v>152</v>
      </c>
      <c r="C52" s="18">
        <v>27503.9</v>
      </c>
      <c r="D52" s="19">
        <v>147258770</v>
      </c>
      <c r="E52" s="12">
        <f t="shared" si="0"/>
        <v>5354.1050541923141</v>
      </c>
    </row>
    <row r="53" spans="1:5" x14ac:dyDescent="0.35">
      <c r="A53" s="28" t="s">
        <v>177</v>
      </c>
      <c r="B53" s="17" t="s">
        <v>178</v>
      </c>
      <c r="C53" s="18">
        <v>7271.7</v>
      </c>
      <c r="D53" s="19">
        <v>38538076</v>
      </c>
      <c r="E53" s="12">
        <f t="shared" si="0"/>
        <v>5299.7340374327878</v>
      </c>
    </row>
    <row r="54" spans="1:5" x14ac:dyDescent="0.35">
      <c r="A54" s="28" t="s">
        <v>41</v>
      </c>
      <c r="B54" s="17" t="s">
        <v>42</v>
      </c>
      <c r="C54" s="18">
        <v>1123.1500000000001</v>
      </c>
      <c r="D54" s="19">
        <v>6455816</v>
      </c>
      <c r="E54" s="12">
        <f t="shared" si="0"/>
        <v>5747.9553042781454</v>
      </c>
    </row>
    <row r="55" spans="1:5" x14ac:dyDescent="0.35">
      <c r="A55" s="28" t="s">
        <v>25</v>
      </c>
      <c r="B55" s="17" t="s">
        <v>26</v>
      </c>
      <c r="C55" s="18">
        <v>2311.4499999999998</v>
      </c>
      <c r="D55" s="19">
        <v>14345659</v>
      </c>
      <c r="E55" s="12">
        <f t="shared" si="0"/>
        <v>6206.3462328841206</v>
      </c>
    </row>
    <row r="56" spans="1:5" x14ac:dyDescent="0.35">
      <c r="A56" s="28" t="s">
        <v>167</v>
      </c>
      <c r="B56" s="17" t="s">
        <v>168</v>
      </c>
      <c r="C56" s="18">
        <v>2102.3000000000002</v>
      </c>
      <c r="D56" s="19">
        <v>12345885</v>
      </c>
      <c r="E56" s="12">
        <f t="shared" si="0"/>
        <v>5872.5610046139936</v>
      </c>
    </row>
    <row r="57" spans="1:5" x14ac:dyDescent="0.35">
      <c r="A57" s="28" t="s">
        <v>45</v>
      </c>
      <c r="B57" s="17" t="s">
        <v>46</v>
      </c>
      <c r="C57" s="18">
        <v>1987</v>
      </c>
      <c r="D57" s="19">
        <v>11668672</v>
      </c>
      <c r="E57" s="12">
        <f t="shared" si="0"/>
        <v>5872.5072974333161</v>
      </c>
    </row>
    <row r="58" spans="1:5" x14ac:dyDescent="0.35">
      <c r="A58" s="28" t="s">
        <v>173</v>
      </c>
      <c r="B58" s="17" t="s">
        <v>174</v>
      </c>
      <c r="C58" s="18">
        <v>3396.95</v>
      </c>
      <c r="D58" s="19">
        <v>18768350</v>
      </c>
      <c r="E58" s="12">
        <f t="shared" si="0"/>
        <v>5525.059244322113</v>
      </c>
    </row>
    <row r="59" spans="1:5" x14ac:dyDescent="0.35">
      <c r="A59" s="28" t="s">
        <v>220</v>
      </c>
      <c r="B59" s="17" t="s">
        <v>221</v>
      </c>
      <c r="C59" s="18">
        <v>9151.9</v>
      </c>
      <c r="D59" s="19">
        <v>52636129</v>
      </c>
      <c r="E59" s="12">
        <f t="shared" si="0"/>
        <v>5751.3881270555839</v>
      </c>
    </row>
    <row r="60" spans="1:5" x14ac:dyDescent="0.35">
      <c r="A60" s="28" t="s">
        <v>222</v>
      </c>
      <c r="B60" s="17" t="s">
        <v>223</v>
      </c>
      <c r="C60" s="18">
        <v>20438.55</v>
      </c>
      <c r="D60" s="19">
        <v>111255519</v>
      </c>
      <c r="E60" s="12">
        <f t="shared" si="0"/>
        <v>5443.4154575544744</v>
      </c>
    </row>
    <row r="61" spans="1:5" x14ac:dyDescent="0.35">
      <c r="A61" s="28" t="s">
        <v>59</v>
      </c>
      <c r="B61" s="17" t="s">
        <v>60</v>
      </c>
      <c r="C61" s="18">
        <v>1138.25</v>
      </c>
      <c r="D61" s="19">
        <v>6372522</v>
      </c>
      <c r="E61" s="12">
        <f t="shared" si="0"/>
        <v>5598.5258071601138</v>
      </c>
    </row>
    <row r="62" spans="1:5" x14ac:dyDescent="0.35">
      <c r="A62" s="28" t="s">
        <v>35</v>
      </c>
      <c r="B62" s="17" t="s">
        <v>36</v>
      </c>
      <c r="C62" s="18">
        <v>6827.3</v>
      </c>
      <c r="D62" s="19">
        <v>37108153</v>
      </c>
      <c r="E62" s="12">
        <f t="shared" si="0"/>
        <v>5435.2603518228289</v>
      </c>
    </row>
    <row r="63" spans="1:5" x14ac:dyDescent="0.35">
      <c r="A63" s="28" t="s">
        <v>91</v>
      </c>
      <c r="B63" s="17" t="s">
        <v>92</v>
      </c>
      <c r="C63" s="18">
        <v>2684.55</v>
      </c>
      <c r="D63" s="19">
        <v>12798311</v>
      </c>
      <c r="E63" s="12">
        <f t="shared" si="0"/>
        <v>4767.3952804008113</v>
      </c>
    </row>
    <row r="64" spans="1:5" x14ac:dyDescent="0.35">
      <c r="A64" s="28" t="s">
        <v>169</v>
      </c>
      <c r="B64" s="17" t="s">
        <v>170</v>
      </c>
      <c r="C64" s="18">
        <v>18165.45</v>
      </c>
      <c r="D64" s="19">
        <v>100306154</v>
      </c>
      <c r="E64" s="12">
        <f t="shared" si="0"/>
        <v>5521.8094789834549</v>
      </c>
    </row>
    <row r="65" spans="1:5" x14ac:dyDescent="0.35">
      <c r="A65" s="28" t="s">
        <v>113</v>
      </c>
      <c r="B65" s="17" t="s">
        <v>114</v>
      </c>
      <c r="C65" s="18">
        <v>6938.7</v>
      </c>
      <c r="D65" s="19">
        <v>40211377</v>
      </c>
      <c r="E65" s="12">
        <f t="shared" si="0"/>
        <v>5795.2321039964263</v>
      </c>
    </row>
    <row r="66" spans="1:5" x14ac:dyDescent="0.35">
      <c r="A66" s="28" t="s">
        <v>121</v>
      </c>
      <c r="B66" s="17" t="s">
        <v>122</v>
      </c>
      <c r="C66" s="18">
        <v>2520.75</v>
      </c>
      <c r="D66" s="19">
        <v>12946856</v>
      </c>
      <c r="E66" s="12">
        <f t="shared" si="0"/>
        <v>5136.1126648814834</v>
      </c>
    </row>
    <row r="67" spans="1:5" x14ac:dyDescent="0.35">
      <c r="A67" s="28" t="s">
        <v>15</v>
      </c>
      <c r="B67" s="17" t="s">
        <v>16</v>
      </c>
      <c r="C67" s="18">
        <v>1324.1</v>
      </c>
      <c r="D67" s="19">
        <v>7795244</v>
      </c>
      <c r="E67" s="12">
        <f t="shared" ref="E67:E130" si="1">D67/C67</f>
        <v>5887.2018729703195</v>
      </c>
    </row>
    <row r="68" spans="1:5" x14ac:dyDescent="0.35">
      <c r="A68" s="28" t="s">
        <v>165</v>
      </c>
      <c r="B68" s="17" t="s">
        <v>166</v>
      </c>
      <c r="C68" s="18">
        <v>2186.9499999999998</v>
      </c>
      <c r="D68" s="19">
        <v>12819596</v>
      </c>
      <c r="E68" s="12">
        <f t="shared" si="1"/>
        <v>5861.8605820892117</v>
      </c>
    </row>
    <row r="69" spans="1:5" x14ac:dyDescent="0.35">
      <c r="A69" s="28" t="s">
        <v>224</v>
      </c>
      <c r="B69" s="17" t="s">
        <v>225</v>
      </c>
      <c r="C69" s="18">
        <v>5722.85</v>
      </c>
      <c r="D69" s="19">
        <v>32123354</v>
      </c>
      <c r="E69" s="12">
        <f t="shared" si="1"/>
        <v>5613.1742051600158</v>
      </c>
    </row>
    <row r="70" spans="1:5" x14ac:dyDescent="0.35">
      <c r="A70" s="28" t="s">
        <v>89</v>
      </c>
      <c r="B70" s="17" t="s">
        <v>90</v>
      </c>
      <c r="C70" s="18">
        <v>2853.45</v>
      </c>
      <c r="D70" s="19">
        <v>15921063</v>
      </c>
      <c r="E70" s="12">
        <f t="shared" si="1"/>
        <v>5579.5836618829844</v>
      </c>
    </row>
    <row r="71" spans="1:5" x14ac:dyDescent="0.35">
      <c r="A71" s="28" t="s">
        <v>226</v>
      </c>
      <c r="B71" s="17" t="s">
        <v>227</v>
      </c>
      <c r="C71" s="18">
        <v>6076.5</v>
      </c>
      <c r="D71" s="19">
        <v>34303316</v>
      </c>
      <c r="E71" s="12">
        <f t="shared" si="1"/>
        <v>5645.2424915658685</v>
      </c>
    </row>
    <row r="72" spans="1:5" x14ac:dyDescent="0.35">
      <c r="A72" s="28" t="s">
        <v>149</v>
      </c>
      <c r="B72" s="17" t="s">
        <v>150</v>
      </c>
      <c r="C72" s="18">
        <v>1724.2</v>
      </c>
      <c r="D72" s="19">
        <v>9813128</v>
      </c>
      <c r="E72" s="12">
        <f t="shared" si="1"/>
        <v>5691.4093492634265</v>
      </c>
    </row>
    <row r="73" spans="1:5" x14ac:dyDescent="0.35">
      <c r="A73" s="28" t="s">
        <v>47</v>
      </c>
      <c r="B73" s="17" t="s">
        <v>48</v>
      </c>
      <c r="C73" s="18">
        <v>1738.75</v>
      </c>
      <c r="D73" s="19">
        <v>8726387</v>
      </c>
      <c r="E73" s="12">
        <f t="shared" si="1"/>
        <v>5018.7703810208486</v>
      </c>
    </row>
    <row r="74" spans="1:5" x14ac:dyDescent="0.35">
      <c r="A74" s="28" t="s">
        <v>228</v>
      </c>
      <c r="B74" s="17" t="s">
        <v>229</v>
      </c>
      <c r="C74" s="18">
        <v>2509.6999999999998</v>
      </c>
      <c r="D74" s="19">
        <v>15181987</v>
      </c>
      <c r="E74" s="12">
        <f t="shared" si="1"/>
        <v>6049.3234251105714</v>
      </c>
    </row>
    <row r="75" spans="1:5" x14ac:dyDescent="0.35">
      <c r="A75" s="28" t="s">
        <v>230</v>
      </c>
      <c r="B75" s="17" t="s">
        <v>231</v>
      </c>
      <c r="C75" s="18">
        <v>4533.25</v>
      </c>
      <c r="D75" s="19">
        <v>25844311</v>
      </c>
      <c r="E75" s="12">
        <f t="shared" si="1"/>
        <v>5701.0557547013732</v>
      </c>
    </row>
    <row r="76" spans="1:5" x14ac:dyDescent="0.35">
      <c r="A76" s="28" t="s">
        <v>71</v>
      </c>
      <c r="B76" s="17" t="s">
        <v>72</v>
      </c>
      <c r="C76" s="18">
        <v>1440.35</v>
      </c>
      <c r="D76" s="19">
        <v>9011232</v>
      </c>
      <c r="E76" s="12">
        <f t="shared" si="1"/>
        <v>6256.2793765404249</v>
      </c>
    </row>
    <row r="77" spans="1:5" x14ac:dyDescent="0.35">
      <c r="A77" s="28" t="s">
        <v>232</v>
      </c>
      <c r="B77" s="17" t="s">
        <v>233</v>
      </c>
      <c r="C77" s="18">
        <v>8953.5499999999993</v>
      </c>
      <c r="D77" s="19">
        <v>44421650</v>
      </c>
      <c r="E77" s="12">
        <f t="shared" si="1"/>
        <v>4961.3449413919625</v>
      </c>
    </row>
    <row r="78" spans="1:5" x14ac:dyDescent="0.35">
      <c r="A78" s="28" t="s">
        <v>77</v>
      </c>
      <c r="B78" s="17" t="s">
        <v>78</v>
      </c>
      <c r="C78" s="18">
        <v>3229.1</v>
      </c>
      <c r="D78" s="19">
        <v>18483155</v>
      </c>
      <c r="E78" s="12">
        <f t="shared" si="1"/>
        <v>5723.9339134743432</v>
      </c>
    </row>
    <row r="79" spans="1:5" x14ac:dyDescent="0.35">
      <c r="A79" s="28" t="s">
        <v>93</v>
      </c>
      <c r="B79" s="17" t="s">
        <v>94</v>
      </c>
      <c r="C79" s="18">
        <v>20818.75</v>
      </c>
      <c r="D79" s="19">
        <v>110772236</v>
      </c>
      <c r="E79" s="12">
        <f t="shared" si="1"/>
        <v>5320.7918823176224</v>
      </c>
    </row>
    <row r="80" spans="1:5" x14ac:dyDescent="0.35">
      <c r="A80" s="28" t="s">
        <v>73</v>
      </c>
      <c r="B80" s="17" t="s">
        <v>74</v>
      </c>
      <c r="C80" s="18">
        <v>2337.4499999999998</v>
      </c>
      <c r="D80" s="19">
        <v>13842471</v>
      </c>
      <c r="E80" s="12">
        <f t="shared" si="1"/>
        <v>5922.0394019123405</v>
      </c>
    </row>
    <row r="81" spans="1:5" x14ac:dyDescent="0.35">
      <c r="A81" s="28" t="s">
        <v>234</v>
      </c>
      <c r="B81" s="17" t="s">
        <v>235</v>
      </c>
      <c r="C81" s="18">
        <v>1145.4000000000001</v>
      </c>
      <c r="D81" s="19">
        <v>6800326</v>
      </c>
      <c r="E81" s="12">
        <f t="shared" si="1"/>
        <v>5937.0752575519464</v>
      </c>
    </row>
    <row r="82" spans="1:5" x14ac:dyDescent="0.35">
      <c r="A82" s="28" t="s">
        <v>95</v>
      </c>
      <c r="B82" s="17" t="s">
        <v>96</v>
      </c>
      <c r="C82" s="18">
        <v>2691.3</v>
      </c>
      <c r="D82" s="19">
        <v>7479273</v>
      </c>
      <c r="E82" s="12">
        <f t="shared" si="1"/>
        <v>2779.0558466168764</v>
      </c>
    </row>
    <row r="83" spans="1:5" x14ac:dyDescent="0.35">
      <c r="A83" s="28" t="s">
        <v>236</v>
      </c>
      <c r="B83" s="17" t="s">
        <v>237</v>
      </c>
      <c r="C83" s="18">
        <v>3163.4</v>
      </c>
      <c r="D83" s="19">
        <v>16302784</v>
      </c>
      <c r="E83" s="12">
        <f t="shared" si="1"/>
        <v>5153.5638869570712</v>
      </c>
    </row>
    <row r="84" spans="1:5" x14ac:dyDescent="0.35">
      <c r="A84" s="28" t="s">
        <v>51</v>
      </c>
      <c r="B84" s="17" t="s">
        <v>52</v>
      </c>
      <c r="C84" s="18">
        <v>1084.8499999999999</v>
      </c>
      <c r="D84" s="19">
        <v>6150070</v>
      </c>
      <c r="E84" s="12">
        <f t="shared" si="1"/>
        <v>5669.0510208784626</v>
      </c>
    </row>
    <row r="85" spans="1:5" x14ac:dyDescent="0.35">
      <c r="A85" s="28" t="s">
        <v>139</v>
      </c>
      <c r="B85" s="17" t="s">
        <v>140</v>
      </c>
      <c r="C85" s="18">
        <v>8520.35</v>
      </c>
      <c r="D85" s="19">
        <v>46048271</v>
      </c>
      <c r="E85" s="12">
        <f t="shared" si="1"/>
        <v>5404.5046271573347</v>
      </c>
    </row>
    <row r="86" spans="1:5" x14ac:dyDescent="0.35">
      <c r="A86" s="28" t="s">
        <v>141</v>
      </c>
      <c r="B86" s="17" t="s">
        <v>142</v>
      </c>
      <c r="C86" s="18">
        <v>2052.9499999999998</v>
      </c>
      <c r="D86" s="19">
        <v>12546738</v>
      </c>
      <c r="E86" s="12">
        <f t="shared" si="1"/>
        <v>6111.5653084585601</v>
      </c>
    </row>
    <row r="87" spans="1:5" x14ac:dyDescent="0.35">
      <c r="A87" s="28" t="s">
        <v>31</v>
      </c>
      <c r="B87" s="17" t="s">
        <v>32</v>
      </c>
      <c r="C87" s="18">
        <v>8049.6</v>
      </c>
      <c r="D87" s="19">
        <v>43562792</v>
      </c>
      <c r="E87" s="12">
        <f t="shared" si="1"/>
        <v>5411.7958656330748</v>
      </c>
    </row>
    <row r="88" spans="1:5" x14ac:dyDescent="0.35">
      <c r="A88" s="28" t="s">
        <v>117</v>
      </c>
      <c r="B88" s="17" t="s">
        <v>118</v>
      </c>
      <c r="C88" s="18">
        <v>612.29999999999995</v>
      </c>
      <c r="D88" s="19">
        <v>3728277</v>
      </c>
      <c r="E88" s="12">
        <f t="shared" si="1"/>
        <v>6088.971092601666</v>
      </c>
    </row>
    <row r="89" spans="1:5" x14ac:dyDescent="0.35">
      <c r="A89" s="28" t="s">
        <v>238</v>
      </c>
      <c r="B89" s="17" t="s">
        <v>239</v>
      </c>
      <c r="C89" s="18">
        <v>6531.35</v>
      </c>
      <c r="D89" s="19">
        <v>38000866</v>
      </c>
      <c r="E89" s="12">
        <f t="shared" si="1"/>
        <v>5818.2253286074083</v>
      </c>
    </row>
    <row r="90" spans="1:5" x14ac:dyDescent="0.35">
      <c r="A90" s="28" t="s">
        <v>240</v>
      </c>
      <c r="B90" s="17" t="s">
        <v>241</v>
      </c>
      <c r="C90" s="18">
        <v>6375.65</v>
      </c>
      <c r="D90" s="19">
        <v>31325122</v>
      </c>
      <c r="E90" s="12">
        <f t="shared" si="1"/>
        <v>4913.243669272937</v>
      </c>
    </row>
    <row r="91" spans="1:5" x14ac:dyDescent="0.35">
      <c r="A91" s="28" t="s">
        <v>37</v>
      </c>
      <c r="B91" s="17" t="s">
        <v>38</v>
      </c>
      <c r="C91" s="18">
        <v>1534.15</v>
      </c>
      <c r="D91" s="19">
        <v>9784294</v>
      </c>
      <c r="E91" s="12">
        <f t="shared" si="1"/>
        <v>6377.6645047746306</v>
      </c>
    </row>
    <row r="92" spans="1:5" x14ac:dyDescent="0.35">
      <c r="A92" s="28" t="s">
        <v>242</v>
      </c>
      <c r="B92" s="17" t="s">
        <v>243</v>
      </c>
      <c r="C92" s="18">
        <v>4476.75</v>
      </c>
      <c r="D92" s="19">
        <v>24302245</v>
      </c>
      <c r="E92" s="12">
        <f t="shared" si="1"/>
        <v>5428.546378511197</v>
      </c>
    </row>
    <row r="93" spans="1:5" x14ac:dyDescent="0.35">
      <c r="A93" s="28" t="s">
        <v>99</v>
      </c>
      <c r="B93" s="17" t="s">
        <v>100</v>
      </c>
      <c r="C93" s="18">
        <v>3353.5</v>
      </c>
      <c r="D93" s="19">
        <v>18224242</v>
      </c>
      <c r="E93" s="12">
        <f t="shared" si="1"/>
        <v>5434.3945131951696</v>
      </c>
    </row>
    <row r="94" spans="1:5" x14ac:dyDescent="0.35">
      <c r="A94" s="28" t="s">
        <v>33</v>
      </c>
      <c r="B94" s="17" t="s">
        <v>34</v>
      </c>
      <c r="C94" s="18">
        <v>4824.95</v>
      </c>
      <c r="D94" s="19">
        <v>28270859</v>
      </c>
      <c r="E94" s="12">
        <f t="shared" si="1"/>
        <v>5859.3061067990348</v>
      </c>
    </row>
    <row r="95" spans="1:5" x14ac:dyDescent="0.35">
      <c r="A95" s="28" t="s">
        <v>244</v>
      </c>
      <c r="B95" s="17" t="s">
        <v>245</v>
      </c>
      <c r="C95" s="18">
        <v>1231.9000000000001</v>
      </c>
      <c r="D95" s="19">
        <v>7714999</v>
      </c>
      <c r="E95" s="12">
        <f t="shared" si="1"/>
        <v>6262.6828476337359</v>
      </c>
    </row>
    <row r="96" spans="1:5" x14ac:dyDescent="0.35">
      <c r="A96" s="28" t="s">
        <v>246</v>
      </c>
      <c r="B96" s="17" t="s">
        <v>247</v>
      </c>
      <c r="C96" s="18">
        <v>2156.3000000000002</v>
      </c>
      <c r="D96" s="19">
        <v>6639694</v>
      </c>
      <c r="E96" s="12">
        <f t="shared" si="1"/>
        <v>3079.2069749107263</v>
      </c>
    </row>
    <row r="97" spans="1:5" x14ac:dyDescent="0.35">
      <c r="A97" s="28" t="s">
        <v>248</v>
      </c>
      <c r="B97" s="17" t="s">
        <v>249</v>
      </c>
      <c r="C97" s="18">
        <v>1767.8</v>
      </c>
      <c r="D97" s="19">
        <v>9961801</v>
      </c>
      <c r="E97" s="12">
        <f t="shared" si="1"/>
        <v>5635.140287362824</v>
      </c>
    </row>
    <row r="98" spans="1:5" x14ac:dyDescent="0.35">
      <c r="A98" s="28" t="s">
        <v>123</v>
      </c>
      <c r="B98" s="17" t="s">
        <v>124</v>
      </c>
      <c r="C98" s="18">
        <v>1573.9</v>
      </c>
      <c r="D98" s="19">
        <v>9463688</v>
      </c>
      <c r="E98" s="12">
        <f t="shared" si="1"/>
        <v>6012.8902725713197</v>
      </c>
    </row>
    <row r="99" spans="1:5" x14ac:dyDescent="0.35">
      <c r="A99" s="28" t="s">
        <v>250</v>
      </c>
      <c r="B99" s="17" t="s">
        <v>251</v>
      </c>
      <c r="C99" s="18">
        <v>3412.2</v>
      </c>
      <c r="D99" s="19">
        <v>20474243</v>
      </c>
      <c r="E99" s="12">
        <f t="shared" si="1"/>
        <v>6000.3056678975445</v>
      </c>
    </row>
    <row r="100" spans="1:5" x14ac:dyDescent="0.35">
      <c r="A100" s="28" t="s">
        <v>252</v>
      </c>
      <c r="B100" s="17" t="s">
        <v>253</v>
      </c>
      <c r="C100" s="18">
        <v>4177.1499999999996</v>
      </c>
      <c r="D100" s="19">
        <v>19526132</v>
      </c>
      <c r="E100" s="12">
        <f t="shared" si="1"/>
        <v>4674.5106113019647</v>
      </c>
    </row>
    <row r="101" spans="1:5" x14ac:dyDescent="0.35">
      <c r="A101" s="28" t="s">
        <v>254</v>
      </c>
      <c r="B101" s="17" t="s">
        <v>255</v>
      </c>
      <c r="C101" s="18">
        <v>13430.35</v>
      </c>
      <c r="D101" s="19">
        <v>66955694</v>
      </c>
      <c r="E101" s="12">
        <f t="shared" si="1"/>
        <v>4985.4020185624349</v>
      </c>
    </row>
    <row r="102" spans="1:5" x14ac:dyDescent="0.35">
      <c r="A102" s="28" t="s">
        <v>256</v>
      </c>
      <c r="B102" s="17" t="s">
        <v>257</v>
      </c>
      <c r="C102" s="18">
        <v>22869.25</v>
      </c>
      <c r="D102" s="19">
        <v>115310106</v>
      </c>
      <c r="E102" s="12">
        <f t="shared" si="1"/>
        <v>5042.1463755916784</v>
      </c>
    </row>
    <row r="103" spans="1:5" x14ac:dyDescent="0.35">
      <c r="A103" s="28" t="s">
        <v>258</v>
      </c>
      <c r="B103" s="17" t="s">
        <v>259</v>
      </c>
      <c r="C103" s="18">
        <v>1620.95</v>
      </c>
      <c r="D103" s="19">
        <v>9163671</v>
      </c>
      <c r="E103" s="12">
        <f t="shared" si="1"/>
        <v>5653.2718467565319</v>
      </c>
    </row>
    <row r="104" spans="1:5" x14ac:dyDescent="0.35">
      <c r="A104" s="28" t="s">
        <v>260</v>
      </c>
      <c r="B104" s="17" t="s">
        <v>261</v>
      </c>
      <c r="C104" s="18">
        <v>2557.6</v>
      </c>
      <c r="D104" s="19">
        <v>14784959</v>
      </c>
      <c r="E104" s="12">
        <f t="shared" si="1"/>
        <v>5780.7941038473573</v>
      </c>
    </row>
    <row r="105" spans="1:5" x14ac:dyDescent="0.35">
      <c r="A105" s="28" t="s">
        <v>7</v>
      </c>
      <c r="B105" s="17" t="s">
        <v>8</v>
      </c>
      <c r="C105" s="18">
        <v>943.15</v>
      </c>
      <c r="D105" s="19">
        <v>5580250</v>
      </c>
      <c r="E105" s="12">
        <f t="shared" si="1"/>
        <v>5916.6092350103381</v>
      </c>
    </row>
    <row r="106" spans="1:5" x14ac:dyDescent="0.35">
      <c r="A106" s="28" t="s">
        <v>262</v>
      </c>
      <c r="B106" s="17" t="s">
        <v>263</v>
      </c>
      <c r="C106" s="18">
        <v>1951.65</v>
      </c>
      <c r="D106" s="19">
        <v>10936328</v>
      </c>
      <c r="E106" s="12">
        <f t="shared" si="1"/>
        <v>5603.6317987344037</v>
      </c>
    </row>
    <row r="107" spans="1:5" x14ac:dyDescent="0.35">
      <c r="A107" s="28" t="s">
        <v>81</v>
      </c>
      <c r="B107" s="17" t="s">
        <v>82</v>
      </c>
      <c r="C107" s="18">
        <v>478.4</v>
      </c>
      <c r="D107" s="19">
        <v>3140419</v>
      </c>
      <c r="E107" s="12">
        <f t="shared" si="1"/>
        <v>6564.4209866220735</v>
      </c>
    </row>
    <row r="108" spans="1:5" x14ac:dyDescent="0.35">
      <c r="A108" s="28" t="s">
        <v>264</v>
      </c>
      <c r="B108" s="17" t="s">
        <v>265</v>
      </c>
      <c r="C108" s="18">
        <v>11512.95</v>
      </c>
      <c r="D108" s="19">
        <v>61693198</v>
      </c>
      <c r="E108" s="12">
        <f t="shared" si="1"/>
        <v>5358.5916728553493</v>
      </c>
    </row>
    <row r="109" spans="1:5" x14ac:dyDescent="0.35">
      <c r="A109" s="28" t="s">
        <v>29</v>
      </c>
      <c r="B109" s="17" t="s">
        <v>30</v>
      </c>
      <c r="C109" s="18">
        <v>1013.4</v>
      </c>
      <c r="D109" s="19">
        <v>6109338</v>
      </c>
      <c r="E109" s="12">
        <f t="shared" si="1"/>
        <v>6028.5553582001185</v>
      </c>
    </row>
    <row r="110" spans="1:5" x14ac:dyDescent="0.35">
      <c r="A110" s="28" t="s">
        <v>266</v>
      </c>
      <c r="B110" s="17" t="s">
        <v>267</v>
      </c>
      <c r="C110" s="18">
        <v>4375.6000000000004</v>
      </c>
      <c r="D110" s="19">
        <v>20897759</v>
      </c>
      <c r="E110" s="12">
        <f t="shared" si="1"/>
        <v>4775.9756376268397</v>
      </c>
    </row>
    <row r="111" spans="1:5" x14ac:dyDescent="0.35">
      <c r="A111" s="28" t="s">
        <v>268</v>
      </c>
      <c r="B111" s="17" t="s">
        <v>269</v>
      </c>
      <c r="C111" s="18">
        <v>2771.5</v>
      </c>
      <c r="D111" s="19">
        <v>16197677</v>
      </c>
      <c r="E111" s="12">
        <f t="shared" si="1"/>
        <v>5844.3720007216307</v>
      </c>
    </row>
    <row r="112" spans="1:5" x14ac:dyDescent="0.35">
      <c r="A112" s="28" t="s">
        <v>270</v>
      </c>
      <c r="B112" s="17" t="s">
        <v>271</v>
      </c>
      <c r="C112" s="18">
        <v>3401.55</v>
      </c>
      <c r="D112" s="19">
        <v>16562114</v>
      </c>
      <c r="E112" s="12">
        <f t="shared" si="1"/>
        <v>4868.9903132395521</v>
      </c>
    </row>
    <row r="113" spans="1:5" x14ac:dyDescent="0.35">
      <c r="A113" s="28" t="s">
        <v>272</v>
      </c>
      <c r="B113" s="17" t="s">
        <v>273</v>
      </c>
      <c r="C113" s="18">
        <v>1429.15</v>
      </c>
      <c r="D113" s="19">
        <v>8663571</v>
      </c>
      <c r="E113" s="12">
        <f t="shared" si="1"/>
        <v>6062.0445719483605</v>
      </c>
    </row>
    <row r="114" spans="1:5" x14ac:dyDescent="0.35">
      <c r="A114" s="28" t="s">
        <v>57</v>
      </c>
      <c r="B114" s="17" t="s">
        <v>58</v>
      </c>
      <c r="C114" s="18">
        <v>4688.3</v>
      </c>
      <c r="D114" s="19">
        <v>23757924</v>
      </c>
      <c r="E114" s="12">
        <f t="shared" si="1"/>
        <v>5067.4922679862639</v>
      </c>
    </row>
    <row r="115" spans="1:5" x14ac:dyDescent="0.35">
      <c r="A115" s="28" t="s">
        <v>131</v>
      </c>
      <c r="B115" s="17" t="s">
        <v>132</v>
      </c>
      <c r="C115" s="18">
        <v>1227.95</v>
      </c>
      <c r="D115" s="19">
        <v>7612844</v>
      </c>
      <c r="E115" s="12">
        <f t="shared" si="1"/>
        <v>6199.6367930290317</v>
      </c>
    </row>
    <row r="116" spans="1:5" x14ac:dyDescent="0.35">
      <c r="A116" s="28" t="s">
        <v>159</v>
      </c>
      <c r="B116" s="17" t="s">
        <v>160</v>
      </c>
      <c r="C116" s="18">
        <v>4050.1</v>
      </c>
      <c r="D116" s="19">
        <v>21961713</v>
      </c>
      <c r="E116" s="12">
        <f t="shared" si="1"/>
        <v>5422.5112960173828</v>
      </c>
    </row>
    <row r="117" spans="1:5" x14ac:dyDescent="0.35">
      <c r="A117" s="28" t="s">
        <v>63</v>
      </c>
      <c r="B117" s="17" t="s">
        <v>64</v>
      </c>
      <c r="C117" s="18">
        <v>1947</v>
      </c>
      <c r="D117" s="19">
        <v>11803754</v>
      </c>
      <c r="E117" s="12">
        <f t="shared" si="1"/>
        <v>6062.5341551104266</v>
      </c>
    </row>
    <row r="118" spans="1:5" x14ac:dyDescent="0.35">
      <c r="A118" s="28" t="s">
        <v>274</v>
      </c>
      <c r="B118" s="17" t="s">
        <v>275</v>
      </c>
      <c r="C118" s="18">
        <v>3942.55</v>
      </c>
      <c r="D118" s="19">
        <v>23297277</v>
      </c>
      <c r="E118" s="12">
        <f t="shared" si="1"/>
        <v>5909.1899912493182</v>
      </c>
    </row>
    <row r="119" spans="1:5" x14ac:dyDescent="0.35">
      <c r="A119" s="28" t="s">
        <v>53</v>
      </c>
      <c r="B119" s="17" t="s">
        <v>54</v>
      </c>
      <c r="C119" s="18">
        <v>7073.6</v>
      </c>
      <c r="D119" s="19">
        <v>42486633</v>
      </c>
      <c r="E119" s="12">
        <f t="shared" si="1"/>
        <v>6006.3663481112872</v>
      </c>
    </row>
    <row r="120" spans="1:5" x14ac:dyDescent="0.35">
      <c r="A120" s="28" t="s">
        <v>97</v>
      </c>
      <c r="B120" s="17" t="s">
        <v>98</v>
      </c>
      <c r="C120" s="18">
        <v>1096.4000000000001</v>
      </c>
      <c r="D120" s="19">
        <v>6577761</v>
      </c>
      <c r="E120" s="12">
        <f t="shared" si="1"/>
        <v>5999.4171835096677</v>
      </c>
    </row>
    <row r="121" spans="1:5" x14ac:dyDescent="0.35">
      <c r="A121" s="28" t="s">
        <v>276</v>
      </c>
      <c r="B121" s="17" t="s">
        <v>277</v>
      </c>
      <c r="C121" s="18">
        <v>2407.15</v>
      </c>
      <c r="D121" s="19">
        <v>11627294</v>
      </c>
      <c r="E121" s="12">
        <f t="shared" si="1"/>
        <v>4830.3155183515773</v>
      </c>
    </row>
    <row r="122" spans="1:5" x14ac:dyDescent="0.35">
      <c r="A122" s="28" t="s">
        <v>278</v>
      </c>
      <c r="B122" s="17" t="s">
        <v>279</v>
      </c>
      <c r="C122" s="18">
        <v>3117.55</v>
      </c>
      <c r="D122" s="19">
        <v>17870299</v>
      </c>
      <c r="E122" s="12">
        <f t="shared" si="1"/>
        <v>5732.1611521868126</v>
      </c>
    </row>
    <row r="123" spans="1:5" x14ac:dyDescent="0.35">
      <c r="A123" s="28" t="s">
        <v>280</v>
      </c>
      <c r="B123" s="17" t="s">
        <v>281</v>
      </c>
      <c r="C123" s="18">
        <v>1394.5</v>
      </c>
      <c r="D123" s="19">
        <v>8432448</v>
      </c>
      <c r="E123" s="12">
        <f t="shared" si="1"/>
        <v>6046.9329508784513</v>
      </c>
    </row>
    <row r="124" spans="1:5" x14ac:dyDescent="0.35">
      <c r="A124" s="28" t="s">
        <v>49</v>
      </c>
      <c r="B124" s="17" t="s">
        <v>50</v>
      </c>
      <c r="C124" s="18">
        <v>2442.0500000000002</v>
      </c>
      <c r="D124" s="19">
        <v>14956940</v>
      </c>
      <c r="E124" s="12">
        <f t="shared" si="1"/>
        <v>6124.7476505395052</v>
      </c>
    </row>
    <row r="125" spans="1:5" x14ac:dyDescent="0.35">
      <c r="A125" s="28" t="s">
        <v>282</v>
      </c>
      <c r="B125" s="17" t="s">
        <v>283</v>
      </c>
      <c r="C125" s="18">
        <v>2388.3000000000002</v>
      </c>
      <c r="D125" s="19">
        <v>13734370</v>
      </c>
      <c r="E125" s="12">
        <f t="shared" si="1"/>
        <v>5750.688774442071</v>
      </c>
    </row>
    <row r="126" spans="1:5" x14ac:dyDescent="0.35">
      <c r="A126" s="28" t="s">
        <v>21</v>
      </c>
      <c r="B126" s="17" t="s">
        <v>22</v>
      </c>
      <c r="C126" s="18">
        <v>2674.2</v>
      </c>
      <c r="D126" s="19">
        <v>16409141</v>
      </c>
      <c r="E126" s="12">
        <f t="shared" si="1"/>
        <v>6136.0934111136048</v>
      </c>
    </row>
    <row r="127" spans="1:5" x14ac:dyDescent="0.35">
      <c r="A127" s="28" t="s">
        <v>181</v>
      </c>
      <c r="B127" s="17" t="s">
        <v>182</v>
      </c>
      <c r="C127" s="18">
        <v>979.1</v>
      </c>
      <c r="D127" s="19">
        <v>5688829</v>
      </c>
      <c r="E127" s="12">
        <f t="shared" si="1"/>
        <v>5810.2635073026249</v>
      </c>
    </row>
    <row r="128" spans="1:5" x14ac:dyDescent="0.35">
      <c r="A128" s="28" t="s">
        <v>153</v>
      </c>
      <c r="B128" s="17" t="s">
        <v>154</v>
      </c>
      <c r="C128" s="18">
        <v>2011</v>
      </c>
      <c r="D128" s="19">
        <v>11265028</v>
      </c>
      <c r="E128" s="12">
        <f t="shared" si="1"/>
        <v>5601.7046245648935</v>
      </c>
    </row>
    <row r="129" spans="1:5" x14ac:dyDescent="0.35">
      <c r="A129" s="28" t="s">
        <v>11</v>
      </c>
      <c r="B129" s="17" t="s">
        <v>12</v>
      </c>
      <c r="C129" s="18">
        <v>1803.55</v>
      </c>
      <c r="D129" s="19">
        <v>11137943</v>
      </c>
      <c r="E129" s="12">
        <f t="shared" si="1"/>
        <v>6175.5665215824347</v>
      </c>
    </row>
    <row r="130" spans="1:5" x14ac:dyDescent="0.35">
      <c r="A130" s="28" t="s">
        <v>157</v>
      </c>
      <c r="B130" s="17" t="s">
        <v>158</v>
      </c>
      <c r="C130" s="18">
        <v>1614.45</v>
      </c>
      <c r="D130" s="19">
        <v>9584462</v>
      </c>
      <c r="E130" s="12">
        <f t="shared" si="1"/>
        <v>5936.673170429558</v>
      </c>
    </row>
    <row r="131" spans="1:5" x14ac:dyDescent="0.35">
      <c r="A131" s="28" t="s">
        <v>284</v>
      </c>
      <c r="B131" s="17" t="s">
        <v>285</v>
      </c>
      <c r="C131" s="18">
        <v>1481.35</v>
      </c>
      <c r="D131" s="19">
        <v>9136148</v>
      </c>
      <c r="E131" s="12">
        <f t="shared" ref="E131:E144" si="2">D131/C131</f>
        <v>6167.4472609444092</v>
      </c>
    </row>
    <row r="132" spans="1:5" x14ac:dyDescent="0.35">
      <c r="A132" s="28" t="s">
        <v>286</v>
      </c>
      <c r="B132" s="17" t="s">
        <v>287</v>
      </c>
      <c r="C132" s="18">
        <v>1183.5999999999999</v>
      </c>
      <c r="D132" s="19">
        <v>7454015</v>
      </c>
      <c r="E132" s="12">
        <f t="shared" si="2"/>
        <v>6297.7483947279488</v>
      </c>
    </row>
    <row r="133" spans="1:5" x14ac:dyDescent="0.35">
      <c r="A133" s="28" t="s">
        <v>67</v>
      </c>
      <c r="B133" s="17" t="s">
        <v>68</v>
      </c>
      <c r="C133" s="18">
        <v>1064.4000000000001</v>
      </c>
      <c r="D133" s="19">
        <v>6608456</v>
      </c>
      <c r="E133" s="12">
        <f t="shared" si="2"/>
        <v>6208.6208192408867</v>
      </c>
    </row>
    <row r="134" spans="1:5" x14ac:dyDescent="0.35">
      <c r="A134" s="28" t="s">
        <v>79</v>
      </c>
      <c r="B134" s="17" t="s">
        <v>80</v>
      </c>
      <c r="C134" s="18">
        <v>1645.6</v>
      </c>
      <c r="D134" s="19">
        <v>9247811</v>
      </c>
      <c r="E134" s="12">
        <f t="shared" si="2"/>
        <v>5619.7198590179878</v>
      </c>
    </row>
    <row r="135" spans="1:5" x14ac:dyDescent="0.35">
      <c r="A135" s="28" t="s">
        <v>288</v>
      </c>
      <c r="B135" s="17" t="s">
        <v>289</v>
      </c>
      <c r="C135" s="18">
        <v>10275.6</v>
      </c>
      <c r="D135" s="19">
        <v>50334040</v>
      </c>
      <c r="E135" s="12">
        <f t="shared" si="2"/>
        <v>4898.4039861419287</v>
      </c>
    </row>
    <row r="136" spans="1:5" x14ac:dyDescent="0.35">
      <c r="A136" s="28" t="s">
        <v>161</v>
      </c>
      <c r="B136" s="17" t="s">
        <v>162</v>
      </c>
      <c r="C136" s="18">
        <v>1429.75</v>
      </c>
      <c r="D136" s="19">
        <v>8725792</v>
      </c>
      <c r="E136" s="12">
        <f t="shared" si="2"/>
        <v>6103.0194089875849</v>
      </c>
    </row>
    <row r="137" spans="1:5" x14ac:dyDescent="0.35">
      <c r="A137" s="28" t="s">
        <v>290</v>
      </c>
      <c r="B137" s="17" t="s">
        <v>291</v>
      </c>
      <c r="C137" s="18">
        <v>7027.65</v>
      </c>
      <c r="D137" s="19">
        <v>36967013</v>
      </c>
      <c r="E137" s="12">
        <f t="shared" si="2"/>
        <v>5260.223972451673</v>
      </c>
    </row>
    <row r="138" spans="1:5" x14ac:dyDescent="0.35">
      <c r="A138" s="28" t="s">
        <v>292</v>
      </c>
      <c r="B138" s="17" t="s">
        <v>293</v>
      </c>
      <c r="C138" s="18">
        <v>1242</v>
      </c>
      <c r="D138" s="19">
        <v>7560583</v>
      </c>
      <c r="E138" s="12">
        <f t="shared" si="2"/>
        <v>6087.4259259259261</v>
      </c>
    </row>
    <row r="139" spans="1:5" x14ac:dyDescent="0.35">
      <c r="A139" s="28" t="s">
        <v>294</v>
      </c>
      <c r="B139" s="17" t="s">
        <v>295</v>
      </c>
      <c r="C139" s="18">
        <v>4802.05</v>
      </c>
      <c r="D139" s="19">
        <v>25433735</v>
      </c>
      <c r="E139" s="12">
        <f t="shared" si="2"/>
        <v>5296.4327735029829</v>
      </c>
    </row>
    <row r="140" spans="1:5" x14ac:dyDescent="0.35">
      <c r="A140" s="28" t="s">
        <v>129</v>
      </c>
      <c r="B140" s="17" t="s">
        <v>296</v>
      </c>
      <c r="C140" s="18">
        <v>328.55</v>
      </c>
      <c r="D140" s="19">
        <v>2028574</v>
      </c>
      <c r="E140" s="12">
        <f t="shared" si="2"/>
        <v>6174.3235428397502</v>
      </c>
    </row>
    <row r="141" spans="1:5" x14ac:dyDescent="0.35">
      <c r="A141" s="28" t="s">
        <v>171</v>
      </c>
      <c r="B141" s="17" t="s">
        <v>172</v>
      </c>
      <c r="C141" s="18">
        <v>478</v>
      </c>
      <c r="D141" s="19">
        <v>2623594</v>
      </c>
      <c r="E141" s="12">
        <f t="shared" si="2"/>
        <v>5488.6903765690377</v>
      </c>
    </row>
    <row r="142" spans="1:5" x14ac:dyDescent="0.35">
      <c r="A142" s="28" t="s">
        <v>39</v>
      </c>
      <c r="B142" s="17" t="s">
        <v>297</v>
      </c>
      <c r="C142" s="18">
        <v>453.15</v>
      </c>
      <c r="D142" s="19">
        <v>2207578</v>
      </c>
      <c r="E142" s="12">
        <f t="shared" si="2"/>
        <v>4871.6274964139911</v>
      </c>
    </row>
    <row r="143" spans="1:5" x14ac:dyDescent="0.35">
      <c r="A143" s="28" t="s">
        <v>19</v>
      </c>
      <c r="B143" s="17" t="s">
        <v>20</v>
      </c>
      <c r="C143" s="18">
        <v>252.7</v>
      </c>
      <c r="D143" s="19">
        <v>981497</v>
      </c>
      <c r="E143" s="12">
        <f t="shared" si="2"/>
        <v>3884.0403640680652</v>
      </c>
    </row>
    <row r="144" spans="1:5" x14ac:dyDescent="0.35">
      <c r="A144" s="28" t="s">
        <v>9</v>
      </c>
      <c r="B144" s="17" t="s">
        <v>298</v>
      </c>
      <c r="C144" s="18">
        <v>412.3</v>
      </c>
      <c r="D144" s="19">
        <v>2896167</v>
      </c>
      <c r="E144" s="12">
        <f t="shared" si="2"/>
        <v>7024.416686878486</v>
      </c>
    </row>
    <row r="145" spans="1:5" x14ac:dyDescent="0.35">
      <c r="A145" s="11"/>
      <c r="B145" s="20" t="s">
        <v>299</v>
      </c>
      <c r="C145" s="12">
        <f>SUM(C2:C144)</f>
        <v>717962.40000000037</v>
      </c>
      <c r="D145" s="21">
        <f>SUM(D2:D144)</f>
        <v>3948472587</v>
      </c>
      <c r="E145" s="11"/>
    </row>
    <row r="146" spans="1:5" x14ac:dyDescent="0.35">
      <c r="A146" s="11"/>
      <c r="B146" s="20" t="s">
        <v>300</v>
      </c>
      <c r="C146" s="11"/>
      <c r="D146" s="22">
        <f>D145/C145</f>
        <v>5499.5534404030041</v>
      </c>
      <c r="E146" s="1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2102-6AED-4FE8-AF28-EF85FC38876F}">
  <dimension ref="A1:F147"/>
  <sheetViews>
    <sheetView workbookViewId="0">
      <selection activeCell="E1" sqref="E1:E1048576"/>
    </sheetView>
  </sheetViews>
  <sheetFormatPr defaultRowHeight="14.5" x14ac:dyDescent="0.35"/>
  <cols>
    <col min="1" max="1" width="12.26953125" customWidth="1"/>
    <col min="2" max="2" width="11.26953125" customWidth="1"/>
    <col min="3" max="3" width="18.453125" customWidth="1"/>
    <col min="4" max="4" width="15.54296875" customWidth="1"/>
    <col min="5" max="5" width="26.54296875" customWidth="1"/>
    <col min="6" max="6" width="11.81640625" customWidth="1"/>
  </cols>
  <sheetData>
    <row r="1" spans="1:6" x14ac:dyDescent="0.35">
      <c r="A1" s="30" t="s">
        <v>301</v>
      </c>
      <c r="B1" s="31" t="s">
        <v>302</v>
      </c>
      <c r="C1" s="30" t="s">
        <v>303</v>
      </c>
      <c r="D1" s="32" t="s">
        <v>304</v>
      </c>
      <c r="E1" s="33" t="s">
        <v>305</v>
      </c>
      <c r="F1" s="33" t="s">
        <v>187</v>
      </c>
    </row>
    <row r="2" spans="1:6" x14ac:dyDescent="0.35">
      <c r="A2">
        <v>2022</v>
      </c>
      <c r="B2" s="34">
        <v>1</v>
      </c>
      <c r="C2" t="s">
        <v>189</v>
      </c>
      <c r="D2" s="35">
        <v>8773.5</v>
      </c>
      <c r="E2" s="36">
        <v>48380445</v>
      </c>
      <c r="F2" s="36">
        <f>E2/D2</f>
        <v>5514.383655325697</v>
      </c>
    </row>
    <row r="3" spans="1:6" x14ac:dyDescent="0.35">
      <c r="A3">
        <v>2022</v>
      </c>
      <c r="B3" s="34">
        <v>2</v>
      </c>
      <c r="C3" t="s">
        <v>191</v>
      </c>
      <c r="D3" s="35">
        <v>29554.95</v>
      </c>
      <c r="E3" s="36">
        <v>143726286</v>
      </c>
      <c r="F3" s="36">
        <f t="shared" ref="F3:F66" si="0">E3/D3</f>
        <v>4863.0190881730468</v>
      </c>
    </row>
    <row r="4" spans="1:6" x14ac:dyDescent="0.35">
      <c r="A4">
        <v>2022</v>
      </c>
      <c r="B4" s="34">
        <v>3</v>
      </c>
      <c r="C4" t="s">
        <v>62</v>
      </c>
      <c r="D4" s="35">
        <v>646.70000000000005</v>
      </c>
      <c r="E4" s="36">
        <v>3148181</v>
      </c>
      <c r="F4" s="36">
        <f t="shared" si="0"/>
        <v>4868.0702025668779</v>
      </c>
    </row>
    <row r="5" spans="1:6" x14ac:dyDescent="0.35">
      <c r="A5">
        <v>2022</v>
      </c>
      <c r="B5" s="34">
        <v>4</v>
      </c>
      <c r="C5" t="s">
        <v>110</v>
      </c>
      <c r="D5" s="35">
        <v>3052.15</v>
      </c>
      <c r="E5" s="36">
        <v>19042924</v>
      </c>
      <c r="F5" s="36">
        <f t="shared" si="0"/>
        <v>6239.183526366659</v>
      </c>
    </row>
    <row r="6" spans="1:6" x14ac:dyDescent="0.35">
      <c r="A6">
        <v>2022</v>
      </c>
      <c r="B6" s="34">
        <v>5</v>
      </c>
      <c r="C6" t="s">
        <v>156</v>
      </c>
      <c r="D6" s="35">
        <v>7612.05</v>
      </c>
      <c r="E6" s="36">
        <v>46104088</v>
      </c>
      <c r="F6" s="36">
        <f t="shared" si="0"/>
        <v>6056.7242726992072</v>
      </c>
    </row>
    <row r="7" spans="1:6" x14ac:dyDescent="0.35">
      <c r="A7">
        <v>2022</v>
      </c>
      <c r="B7" s="34">
        <v>6</v>
      </c>
      <c r="C7" t="s">
        <v>66</v>
      </c>
      <c r="D7" s="35">
        <v>1386.5</v>
      </c>
      <c r="E7" s="36">
        <v>8552322</v>
      </c>
      <c r="F7" s="36">
        <f t="shared" si="0"/>
        <v>6168.28128380815</v>
      </c>
    </row>
    <row r="8" spans="1:6" x14ac:dyDescent="0.35">
      <c r="A8">
        <v>2022</v>
      </c>
      <c r="B8" s="34">
        <v>7</v>
      </c>
      <c r="C8" t="s">
        <v>14</v>
      </c>
      <c r="D8" s="35">
        <v>2825.3</v>
      </c>
      <c r="E8" s="36">
        <v>16333086</v>
      </c>
      <c r="F8" s="36">
        <f t="shared" si="0"/>
        <v>5781.0094503238588</v>
      </c>
    </row>
    <row r="9" spans="1:6" x14ac:dyDescent="0.35">
      <c r="A9">
        <v>2022</v>
      </c>
      <c r="B9" s="34">
        <v>8</v>
      </c>
      <c r="C9" t="s">
        <v>108</v>
      </c>
      <c r="D9" s="35">
        <v>7817.05</v>
      </c>
      <c r="E9" s="36">
        <v>46950255</v>
      </c>
      <c r="F9" s="36">
        <f t="shared" si="0"/>
        <v>6006.1346671698402</v>
      </c>
    </row>
    <row r="10" spans="1:6" x14ac:dyDescent="0.35">
      <c r="A10">
        <v>2022</v>
      </c>
      <c r="B10" s="34">
        <v>9</v>
      </c>
      <c r="C10" t="s">
        <v>193</v>
      </c>
      <c r="D10" s="35">
        <v>3259.7</v>
      </c>
      <c r="E10" s="36">
        <v>17905134</v>
      </c>
      <c r="F10" s="36">
        <f t="shared" si="0"/>
        <v>5492.8778721968283</v>
      </c>
    </row>
    <row r="11" spans="1:6" x14ac:dyDescent="0.35">
      <c r="A11">
        <v>2022</v>
      </c>
      <c r="B11" s="34">
        <v>10</v>
      </c>
      <c r="C11" t="s">
        <v>102</v>
      </c>
      <c r="D11" s="35">
        <v>3686.15</v>
      </c>
      <c r="E11" s="36">
        <v>21770064</v>
      </c>
      <c r="F11" s="36">
        <f t="shared" si="0"/>
        <v>5905.9083325420834</v>
      </c>
    </row>
    <row r="12" spans="1:6" x14ac:dyDescent="0.35">
      <c r="A12">
        <v>2022</v>
      </c>
      <c r="B12" s="34">
        <v>11</v>
      </c>
      <c r="C12" t="s">
        <v>70</v>
      </c>
      <c r="D12" s="35">
        <v>7396.95</v>
      </c>
      <c r="E12" s="36">
        <v>42414794</v>
      </c>
      <c r="F12" s="36">
        <f t="shared" si="0"/>
        <v>5734.0922947971803</v>
      </c>
    </row>
    <row r="13" spans="1:6" x14ac:dyDescent="0.35">
      <c r="A13">
        <v>2022</v>
      </c>
      <c r="B13" s="34">
        <v>12</v>
      </c>
      <c r="C13" t="s">
        <v>134</v>
      </c>
      <c r="D13" s="35">
        <v>1070.75</v>
      </c>
      <c r="E13" s="36">
        <v>4797483</v>
      </c>
      <c r="F13" s="36">
        <f t="shared" si="0"/>
        <v>4480.4884426803646</v>
      </c>
    </row>
    <row r="14" spans="1:6" x14ac:dyDescent="0.35">
      <c r="A14">
        <v>2022</v>
      </c>
      <c r="B14" s="34">
        <v>13</v>
      </c>
      <c r="C14" t="s">
        <v>195</v>
      </c>
      <c r="D14" s="35">
        <v>2230.8000000000002</v>
      </c>
      <c r="E14" s="36">
        <v>12591443</v>
      </c>
      <c r="F14" s="36">
        <f t="shared" si="0"/>
        <v>5644.3621122467275</v>
      </c>
    </row>
    <row r="15" spans="1:6" x14ac:dyDescent="0.35">
      <c r="A15">
        <v>2022</v>
      </c>
      <c r="B15" s="34">
        <v>14</v>
      </c>
      <c r="C15" t="s">
        <v>84</v>
      </c>
      <c r="D15" s="35">
        <v>1794.95</v>
      </c>
      <c r="E15" s="36">
        <v>10887222</v>
      </c>
      <c r="F15" s="36">
        <f t="shared" si="0"/>
        <v>6065.4736900749322</v>
      </c>
    </row>
    <row r="16" spans="1:6" x14ac:dyDescent="0.35">
      <c r="A16">
        <v>2022</v>
      </c>
      <c r="B16" s="34">
        <v>15</v>
      </c>
      <c r="C16" t="s">
        <v>144</v>
      </c>
      <c r="D16" s="35">
        <v>2436.1</v>
      </c>
      <c r="E16" s="36">
        <v>15557774</v>
      </c>
      <c r="F16" s="36">
        <f t="shared" si="0"/>
        <v>6386.3445671359959</v>
      </c>
    </row>
    <row r="17" spans="1:6" x14ac:dyDescent="0.35">
      <c r="A17">
        <v>2022</v>
      </c>
      <c r="B17" s="34">
        <v>16</v>
      </c>
      <c r="C17" t="s">
        <v>138</v>
      </c>
      <c r="D17" s="35">
        <v>2569.9499999999998</v>
      </c>
      <c r="E17" s="36">
        <v>14760302</v>
      </c>
      <c r="F17" s="36">
        <f t="shared" si="0"/>
        <v>5743.419910893208</v>
      </c>
    </row>
    <row r="18" spans="1:6" x14ac:dyDescent="0.35">
      <c r="A18">
        <v>2022</v>
      </c>
      <c r="B18" s="34">
        <v>17</v>
      </c>
      <c r="C18" t="s">
        <v>24</v>
      </c>
      <c r="D18" s="35">
        <v>2498.65</v>
      </c>
      <c r="E18" s="36">
        <v>12875988</v>
      </c>
      <c r="F18" s="36">
        <f t="shared" si="0"/>
        <v>5153.1779160746801</v>
      </c>
    </row>
    <row r="19" spans="1:6" x14ac:dyDescent="0.35">
      <c r="A19">
        <v>2022</v>
      </c>
      <c r="B19" s="34">
        <v>18</v>
      </c>
      <c r="C19" t="s">
        <v>197</v>
      </c>
      <c r="D19" s="35">
        <v>1579.85</v>
      </c>
      <c r="E19" s="36">
        <v>10914693</v>
      </c>
      <c r="F19" s="36">
        <f t="shared" si="0"/>
        <v>6908.689432541064</v>
      </c>
    </row>
    <row r="20" spans="1:6" x14ac:dyDescent="0.35">
      <c r="A20">
        <v>2022</v>
      </c>
      <c r="B20" s="34">
        <v>19</v>
      </c>
      <c r="C20" t="s">
        <v>199</v>
      </c>
      <c r="D20" s="35">
        <v>780.25</v>
      </c>
      <c r="E20" s="36">
        <v>3490914</v>
      </c>
      <c r="F20" s="36">
        <f t="shared" si="0"/>
        <v>4474.0967638577376</v>
      </c>
    </row>
    <row r="21" spans="1:6" x14ac:dyDescent="0.35">
      <c r="A21">
        <v>2022</v>
      </c>
      <c r="B21" s="34">
        <v>20</v>
      </c>
      <c r="C21" t="s">
        <v>120</v>
      </c>
      <c r="D21" s="35">
        <v>2755.1</v>
      </c>
      <c r="E21" s="36">
        <v>16030086</v>
      </c>
      <c r="F21" s="36">
        <f t="shared" si="0"/>
        <v>5818.3318209865347</v>
      </c>
    </row>
    <row r="22" spans="1:6" x14ac:dyDescent="0.35">
      <c r="A22">
        <v>2022</v>
      </c>
      <c r="B22" s="34">
        <v>21</v>
      </c>
      <c r="C22" t="s">
        <v>201</v>
      </c>
      <c r="D22" s="35">
        <v>2140.15</v>
      </c>
      <c r="E22" s="36">
        <v>12506595</v>
      </c>
      <c r="F22" s="36">
        <f t="shared" si="0"/>
        <v>5843.7936593229442</v>
      </c>
    </row>
    <row r="23" spans="1:6" x14ac:dyDescent="0.35">
      <c r="A23">
        <v>2022</v>
      </c>
      <c r="B23" s="34">
        <v>22</v>
      </c>
      <c r="C23" t="s">
        <v>128</v>
      </c>
      <c r="D23" s="35">
        <v>9185.0499999999993</v>
      </c>
      <c r="E23" s="36">
        <v>56013578</v>
      </c>
      <c r="F23" s="36">
        <f t="shared" si="0"/>
        <v>6098.3421973750828</v>
      </c>
    </row>
    <row r="24" spans="1:6" x14ac:dyDescent="0.35">
      <c r="A24">
        <v>2022</v>
      </c>
      <c r="B24" s="34">
        <v>23</v>
      </c>
      <c r="C24" t="s">
        <v>126</v>
      </c>
      <c r="D24" s="35">
        <v>3381.4</v>
      </c>
      <c r="E24" s="36">
        <v>20804082</v>
      </c>
      <c r="F24" s="36">
        <f t="shared" si="0"/>
        <v>6152.5054711066423</v>
      </c>
    </row>
    <row r="25" spans="1:6" x14ac:dyDescent="0.35">
      <c r="A25">
        <v>2022</v>
      </c>
      <c r="B25" s="34">
        <v>24</v>
      </c>
      <c r="C25" t="s">
        <v>56</v>
      </c>
      <c r="D25" s="35">
        <v>2738.3</v>
      </c>
      <c r="E25" s="36">
        <v>16469127</v>
      </c>
      <c r="F25" s="36">
        <f t="shared" si="0"/>
        <v>6014.3618303326875</v>
      </c>
    </row>
    <row r="26" spans="1:6" x14ac:dyDescent="0.35">
      <c r="A26">
        <v>2022</v>
      </c>
      <c r="B26" s="34">
        <v>25</v>
      </c>
      <c r="C26" t="s">
        <v>136</v>
      </c>
      <c r="D26" s="35">
        <v>8332.75</v>
      </c>
      <c r="E26" s="36">
        <v>50838253</v>
      </c>
      <c r="F26" s="36">
        <f t="shared" si="0"/>
        <v>6101.0174312201852</v>
      </c>
    </row>
    <row r="27" spans="1:6" x14ac:dyDescent="0.35">
      <c r="A27">
        <v>2022</v>
      </c>
      <c r="B27" s="34">
        <v>26</v>
      </c>
      <c r="C27" t="s">
        <v>203</v>
      </c>
      <c r="D27" s="35">
        <v>11495.6</v>
      </c>
      <c r="E27" s="36">
        <v>62638303</v>
      </c>
      <c r="F27" s="36">
        <f t="shared" si="0"/>
        <v>5448.8937506524235</v>
      </c>
    </row>
    <row r="28" spans="1:6" x14ac:dyDescent="0.35">
      <c r="A28">
        <v>2022</v>
      </c>
      <c r="B28" s="34">
        <v>27</v>
      </c>
      <c r="C28" t="s">
        <v>205</v>
      </c>
      <c r="D28" s="35">
        <v>4074.35</v>
      </c>
      <c r="E28" s="36">
        <v>22746816</v>
      </c>
      <c r="F28" s="36">
        <f t="shared" si="0"/>
        <v>5582.9312651097725</v>
      </c>
    </row>
    <row r="29" spans="1:6" x14ac:dyDescent="0.35">
      <c r="A29">
        <v>2022</v>
      </c>
      <c r="B29" s="34">
        <v>28</v>
      </c>
      <c r="C29" t="s">
        <v>207</v>
      </c>
      <c r="D29" s="35">
        <v>8269.5499999999993</v>
      </c>
      <c r="E29" s="36">
        <v>50518377</v>
      </c>
      <c r="F29" s="36">
        <f t="shared" si="0"/>
        <v>6108.963244674741</v>
      </c>
    </row>
    <row r="30" spans="1:6" x14ac:dyDescent="0.35">
      <c r="A30">
        <v>2022</v>
      </c>
      <c r="B30" s="34">
        <v>29</v>
      </c>
      <c r="C30" t="s">
        <v>104</v>
      </c>
      <c r="D30" s="35">
        <v>2126</v>
      </c>
      <c r="E30" s="36">
        <v>12715750</v>
      </c>
      <c r="F30" s="36">
        <f t="shared" si="0"/>
        <v>5981.0677328316087</v>
      </c>
    </row>
    <row r="31" spans="1:6" x14ac:dyDescent="0.35">
      <c r="A31">
        <v>2022</v>
      </c>
      <c r="B31" s="34">
        <v>30</v>
      </c>
      <c r="C31" t="s">
        <v>148</v>
      </c>
      <c r="D31" s="35">
        <v>3490.65</v>
      </c>
      <c r="E31" s="36">
        <v>21604943</v>
      </c>
      <c r="F31" s="36">
        <f t="shared" si="0"/>
        <v>6189.3753312420322</v>
      </c>
    </row>
    <row r="32" spans="1:6" x14ac:dyDescent="0.35">
      <c r="A32">
        <v>2022</v>
      </c>
      <c r="B32" s="34">
        <v>31</v>
      </c>
      <c r="C32" t="s">
        <v>86</v>
      </c>
      <c r="D32" s="35">
        <v>2538.85</v>
      </c>
      <c r="E32" s="36">
        <v>15811378</v>
      </c>
      <c r="F32" s="36">
        <f t="shared" si="0"/>
        <v>6227.7716288870952</v>
      </c>
    </row>
    <row r="33" spans="1:6" x14ac:dyDescent="0.35">
      <c r="A33">
        <v>2022</v>
      </c>
      <c r="B33" s="34">
        <v>32</v>
      </c>
      <c r="C33" t="s">
        <v>76</v>
      </c>
      <c r="D33" s="35">
        <v>913.05</v>
      </c>
      <c r="E33" s="36">
        <v>5070540</v>
      </c>
      <c r="F33" s="36">
        <f t="shared" si="0"/>
        <v>5553.4089042221131</v>
      </c>
    </row>
    <row r="34" spans="1:6" x14ac:dyDescent="0.35">
      <c r="A34">
        <v>2022</v>
      </c>
      <c r="B34" s="34">
        <v>33</v>
      </c>
      <c r="C34" t="s">
        <v>44</v>
      </c>
      <c r="D34" s="35">
        <v>2270.9499999999998</v>
      </c>
      <c r="E34" s="36">
        <v>13840220</v>
      </c>
      <c r="F34" s="36">
        <f t="shared" si="0"/>
        <v>6094.46266980779</v>
      </c>
    </row>
    <row r="35" spans="1:6" x14ac:dyDescent="0.35">
      <c r="A35">
        <v>2022</v>
      </c>
      <c r="B35" s="34">
        <v>34</v>
      </c>
      <c r="C35" t="s">
        <v>209</v>
      </c>
      <c r="D35" s="35">
        <v>2399.9499999999998</v>
      </c>
      <c r="E35" s="36">
        <v>14073226</v>
      </c>
      <c r="F35" s="36">
        <f t="shared" si="0"/>
        <v>5863.9663326319305</v>
      </c>
    </row>
    <row r="36" spans="1:6" x14ac:dyDescent="0.35">
      <c r="A36">
        <v>2022</v>
      </c>
      <c r="B36" s="34">
        <v>35</v>
      </c>
      <c r="C36" t="s">
        <v>180</v>
      </c>
      <c r="D36" s="35">
        <v>6177.6</v>
      </c>
      <c r="E36" s="36">
        <v>33779840</v>
      </c>
      <c r="F36" s="36">
        <f t="shared" si="0"/>
        <v>5468.1170681170679</v>
      </c>
    </row>
    <row r="37" spans="1:6" x14ac:dyDescent="0.35">
      <c r="A37">
        <v>2022</v>
      </c>
      <c r="B37" s="34">
        <v>36</v>
      </c>
      <c r="C37" t="s">
        <v>211</v>
      </c>
      <c r="D37" s="35">
        <v>4971.1000000000004</v>
      </c>
      <c r="E37" s="36">
        <v>28412760</v>
      </c>
      <c r="F37" s="36">
        <f t="shared" si="0"/>
        <v>5715.5880992134535</v>
      </c>
    </row>
    <row r="38" spans="1:6" x14ac:dyDescent="0.35">
      <c r="A38">
        <v>2022</v>
      </c>
      <c r="B38" s="34">
        <v>37</v>
      </c>
      <c r="C38" t="s">
        <v>88</v>
      </c>
      <c r="D38" s="35">
        <v>34576.1</v>
      </c>
      <c r="E38" s="36">
        <v>190678303</v>
      </c>
      <c r="F38" s="36">
        <f t="shared" si="0"/>
        <v>5514.7429293645037</v>
      </c>
    </row>
    <row r="39" spans="1:6" x14ac:dyDescent="0.35">
      <c r="A39">
        <v>2022</v>
      </c>
      <c r="B39" s="34">
        <v>38</v>
      </c>
      <c r="C39" t="s">
        <v>116</v>
      </c>
      <c r="D39" s="35">
        <v>2190.5500000000002</v>
      </c>
      <c r="E39" s="36">
        <v>13397922</v>
      </c>
      <c r="F39" s="36">
        <f t="shared" si="0"/>
        <v>6116.2365615941198</v>
      </c>
    </row>
    <row r="40" spans="1:6" x14ac:dyDescent="0.35">
      <c r="A40">
        <v>2022</v>
      </c>
      <c r="B40" s="34">
        <v>39</v>
      </c>
      <c r="C40" t="s">
        <v>213</v>
      </c>
      <c r="D40" s="35">
        <v>7678.15</v>
      </c>
      <c r="E40" s="36">
        <v>44638818</v>
      </c>
      <c r="F40" s="36">
        <f t="shared" si="0"/>
        <v>5813.7465405078046</v>
      </c>
    </row>
    <row r="41" spans="1:6" x14ac:dyDescent="0.35">
      <c r="A41">
        <v>2022</v>
      </c>
      <c r="B41" s="34">
        <v>40</v>
      </c>
      <c r="C41" t="s">
        <v>215</v>
      </c>
      <c r="D41" s="35">
        <v>4599.7</v>
      </c>
      <c r="E41" s="36">
        <v>28144809</v>
      </c>
      <c r="F41" s="36">
        <f t="shared" si="0"/>
        <v>6118.8357936387156</v>
      </c>
    </row>
    <row r="42" spans="1:6" x14ac:dyDescent="0.35">
      <c r="A42">
        <v>2022</v>
      </c>
      <c r="B42" s="34">
        <v>41</v>
      </c>
      <c r="C42" t="s">
        <v>176</v>
      </c>
      <c r="D42" s="35">
        <v>9065.7000000000007</v>
      </c>
      <c r="E42" s="36">
        <v>51299615</v>
      </c>
      <c r="F42" s="36">
        <f t="shared" si="0"/>
        <v>5658.6490839096814</v>
      </c>
    </row>
    <row r="43" spans="1:6" x14ac:dyDescent="0.35">
      <c r="A43">
        <v>2022</v>
      </c>
      <c r="B43" s="34">
        <v>42</v>
      </c>
      <c r="C43" t="s">
        <v>217</v>
      </c>
      <c r="D43" s="35">
        <v>12638.25</v>
      </c>
      <c r="E43" s="36">
        <v>74735958</v>
      </c>
      <c r="F43" s="36">
        <f t="shared" si="0"/>
        <v>5913.4736217435166</v>
      </c>
    </row>
    <row r="44" spans="1:6" x14ac:dyDescent="0.35">
      <c r="A44">
        <v>2022</v>
      </c>
      <c r="B44" s="34">
        <v>43</v>
      </c>
      <c r="C44" t="s">
        <v>28</v>
      </c>
      <c r="D44" s="35">
        <v>1306.05</v>
      </c>
      <c r="E44" s="36">
        <v>7774928</v>
      </c>
      <c r="F44" s="36">
        <f t="shared" si="0"/>
        <v>5953.0094559932622</v>
      </c>
    </row>
    <row r="45" spans="1:6" x14ac:dyDescent="0.35">
      <c r="A45">
        <v>2022</v>
      </c>
      <c r="B45" s="34">
        <v>44</v>
      </c>
      <c r="C45" t="s">
        <v>106</v>
      </c>
      <c r="D45" s="35">
        <v>1897.15</v>
      </c>
      <c r="E45" s="36">
        <v>12242932</v>
      </c>
      <c r="F45" s="36">
        <f t="shared" si="0"/>
        <v>6453.3284136731409</v>
      </c>
    </row>
    <row r="46" spans="1:6" x14ac:dyDescent="0.35">
      <c r="A46">
        <v>2022</v>
      </c>
      <c r="B46" s="34">
        <v>45</v>
      </c>
      <c r="C46" t="s">
        <v>219</v>
      </c>
      <c r="D46" s="35">
        <v>18753.7</v>
      </c>
      <c r="E46" s="36">
        <v>107554004</v>
      </c>
      <c r="F46" s="36">
        <f t="shared" si="0"/>
        <v>5735.0818238534257</v>
      </c>
    </row>
    <row r="47" spans="1:6" x14ac:dyDescent="0.35">
      <c r="A47">
        <v>2022</v>
      </c>
      <c r="B47" s="34">
        <v>46</v>
      </c>
      <c r="C47" t="s">
        <v>18</v>
      </c>
      <c r="D47" s="35">
        <v>912.15</v>
      </c>
      <c r="E47" s="36">
        <v>5051127</v>
      </c>
      <c r="F47" s="36">
        <f t="shared" si="0"/>
        <v>5537.6056569643151</v>
      </c>
    </row>
    <row r="48" spans="1:6" x14ac:dyDescent="0.35">
      <c r="A48">
        <v>2022</v>
      </c>
      <c r="B48" s="34">
        <v>47</v>
      </c>
      <c r="C48" t="s">
        <v>164</v>
      </c>
      <c r="D48" s="35">
        <v>3190.85</v>
      </c>
      <c r="E48" s="36">
        <v>19091579</v>
      </c>
      <c r="F48" s="36">
        <f t="shared" si="0"/>
        <v>5983.2267264208594</v>
      </c>
    </row>
    <row r="49" spans="1:6" x14ac:dyDescent="0.35">
      <c r="A49">
        <v>2022</v>
      </c>
      <c r="B49" s="34">
        <v>48</v>
      </c>
      <c r="C49" t="s">
        <v>112</v>
      </c>
      <c r="D49" s="35">
        <v>5528.45</v>
      </c>
      <c r="E49" s="36">
        <v>32718895</v>
      </c>
      <c r="F49" s="36">
        <f t="shared" si="0"/>
        <v>5918.2763704112367</v>
      </c>
    </row>
    <row r="50" spans="1:6" x14ac:dyDescent="0.35">
      <c r="A50">
        <v>2022</v>
      </c>
      <c r="B50" s="34">
        <v>49</v>
      </c>
      <c r="C50" t="s">
        <v>184</v>
      </c>
      <c r="D50" s="35">
        <v>51299.75</v>
      </c>
      <c r="E50" s="36">
        <v>271166530</v>
      </c>
      <c r="F50" s="36">
        <f t="shared" si="0"/>
        <v>5285.9230308139904</v>
      </c>
    </row>
    <row r="51" spans="1:6" x14ac:dyDescent="0.35">
      <c r="A51">
        <v>2022</v>
      </c>
      <c r="B51" s="34">
        <v>50</v>
      </c>
      <c r="C51" t="s">
        <v>146</v>
      </c>
      <c r="D51" s="35">
        <v>3056.6</v>
      </c>
      <c r="E51" s="36">
        <v>17024992</v>
      </c>
      <c r="F51" s="36">
        <f t="shared" si="0"/>
        <v>5569.911666557613</v>
      </c>
    </row>
    <row r="52" spans="1:6" x14ac:dyDescent="0.35">
      <c r="A52">
        <v>2022</v>
      </c>
      <c r="B52" s="34">
        <v>51</v>
      </c>
      <c r="C52" t="s">
        <v>152</v>
      </c>
      <c r="D52" s="35">
        <v>27503.9</v>
      </c>
      <c r="E52" s="36">
        <v>151548473</v>
      </c>
      <c r="F52" s="36">
        <f t="shared" si="0"/>
        <v>5510.0721352244591</v>
      </c>
    </row>
    <row r="53" spans="1:6" x14ac:dyDescent="0.35">
      <c r="A53">
        <v>2022</v>
      </c>
      <c r="B53" s="34">
        <v>52</v>
      </c>
      <c r="C53" t="s">
        <v>178</v>
      </c>
      <c r="D53" s="35">
        <v>7271.7</v>
      </c>
      <c r="E53" s="36">
        <v>39338372</v>
      </c>
      <c r="F53" s="36">
        <f t="shared" si="0"/>
        <v>5409.7902828774568</v>
      </c>
    </row>
    <row r="54" spans="1:6" x14ac:dyDescent="0.35">
      <c r="A54">
        <v>2022</v>
      </c>
      <c r="B54" s="34">
        <v>53</v>
      </c>
      <c r="C54" t="s">
        <v>42</v>
      </c>
      <c r="D54" s="35">
        <v>1123.1500000000001</v>
      </c>
      <c r="E54" s="36">
        <v>6600603</v>
      </c>
      <c r="F54" s="36">
        <f t="shared" si="0"/>
        <v>5876.8668477051142</v>
      </c>
    </row>
    <row r="55" spans="1:6" x14ac:dyDescent="0.35">
      <c r="A55">
        <v>2022</v>
      </c>
      <c r="B55" s="34">
        <v>54</v>
      </c>
      <c r="C55" t="s">
        <v>26</v>
      </c>
      <c r="D55" s="35">
        <v>2311.4499999999998</v>
      </c>
      <c r="E55" s="36">
        <v>13985000</v>
      </c>
      <c r="F55" s="36">
        <f t="shared" si="0"/>
        <v>6050.3147375024337</v>
      </c>
    </row>
    <row r="56" spans="1:6" x14ac:dyDescent="0.35">
      <c r="A56">
        <v>2022</v>
      </c>
      <c r="B56" s="34">
        <v>55</v>
      </c>
      <c r="C56" t="s">
        <v>168</v>
      </c>
      <c r="D56" s="35">
        <v>2102.3000000000002</v>
      </c>
      <c r="E56" s="36">
        <v>12438155</v>
      </c>
      <c r="F56" s="36">
        <f t="shared" si="0"/>
        <v>5916.4510298244777</v>
      </c>
    </row>
    <row r="57" spans="1:6" x14ac:dyDescent="0.35">
      <c r="A57">
        <v>2022</v>
      </c>
      <c r="B57" s="34">
        <v>56</v>
      </c>
      <c r="C57" t="s">
        <v>46</v>
      </c>
      <c r="D57" s="35">
        <v>1987</v>
      </c>
      <c r="E57" s="36">
        <v>11344346</v>
      </c>
      <c r="F57" s="36">
        <f t="shared" si="0"/>
        <v>5709.2833417211878</v>
      </c>
    </row>
    <row r="58" spans="1:6" x14ac:dyDescent="0.35">
      <c r="A58">
        <v>2022</v>
      </c>
      <c r="B58" s="34">
        <v>57</v>
      </c>
      <c r="C58" t="s">
        <v>174</v>
      </c>
      <c r="D58" s="35">
        <v>3396.95</v>
      </c>
      <c r="E58" s="36">
        <v>18939223</v>
      </c>
      <c r="F58" s="36">
        <f t="shared" si="0"/>
        <v>5575.3611327808776</v>
      </c>
    </row>
    <row r="59" spans="1:6" x14ac:dyDescent="0.35">
      <c r="A59">
        <v>2022</v>
      </c>
      <c r="B59" s="34">
        <v>58</v>
      </c>
      <c r="C59" t="s">
        <v>306</v>
      </c>
      <c r="D59" s="35">
        <v>9151.9</v>
      </c>
      <c r="E59" s="36">
        <v>53608288</v>
      </c>
      <c r="F59" s="36">
        <f t="shared" si="0"/>
        <v>5857.6129546870052</v>
      </c>
    </row>
    <row r="60" spans="1:6" x14ac:dyDescent="0.35">
      <c r="A60">
        <v>2022</v>
      </c>
      <c r="B60" s="34">
        <v>59</v>
      </c>
      <c r="C60" t="s">
        <v>223</v>
      </c>
      <c r="D60" s="35">
        <v>20438.55</v>
      </c>
      <c r="E60" s="36">
        <v>110589637</v>
      </c>
      <c r="F60" s="36">
        <f t="shared" si="0"/>
        <v>5410.8357491113611</v>
      </c>
    </row>
    <row r="61" spans="1:6" x14ac:dyDescent="0.35">
      <c r="A61">
        <v>2022</v>
      </c>
      <c r="B61" s="34">
        <v>60</v>
      </c>
      <c r="C61" t="s">
        <v>60</v>
      </c>
      <c r="D61" s="35">
        <v>1138.25</v>
      </c>
      <c r="E61" s="36">
        <v>6527235</v>
      </c>
      <c r="F61" s="36">
        <f t="shared" si="0"/>
        <v>5734.4476169558529</v>
      </c>
    </row>
    <row r="62" spans="1:6" x14ac:dyDescent="0.35">
      <c r="A62">
        <v>2022</v>
      </c>
      <c r="B62" s="34">
        <v>61</v>
      </c>
      <c r="C62" t="s">
        <v>36</v>
      </c>
      <c r="D62" s="35">
        <v>6827.3</v>
      </c>
      <c r="E62" s="36">
        <v>35575127</v>
      </c>
      <c r="F62" s="36">
        <f t="shared" si="0"/>
        <v>5210.7168280286496</v>
      </c>
    </row>
    <row r="63" spans="1:6" x14ac:dyDescent="0.35">
      <c r="A63">
        <v>2022</v>
      </c>
      <c r="B63" s="34">
        <v>62</v>
      </c>
      <c r="C63" t="s">
        <v>92</v>
      </c>
      <c r="D63" s="35">
        <v>2684.55</v>
      </c>
      <c r="E63" s="36">
        <v>12516078</v>
      </c>
      <c r="F63" s="36">
        <f t="shared" si="0"/>
        <v>4662.2629490976142</v>
      </c>
    </row>
    <row r="64" spans="1:6" x14ac:dyDescent="0.35">
      <c r="A64">
        <v>2022</v>
      </c>
      <c r="B64" s="34">
        <v>63</v>
      </c>
      <c r="C64" t="s">
        <v>170</v>
      </c>
      <c r="D64" s="35">
        <v>18165.45</v>
      </c>
      <c r="E64" s="36">
        <v>98651508</v>
      </c>
      <c r="F64" s="36">
        <f t="shared" si="0"/>
        <v>5430.7219474331769</v>
      </c>
    </row>
    <row r="65" spans="1:6" x14ac:dyDescent="0.35">
      <c r="A65">
        <v>2022</v>
      </c>
      <c r="B65" s="34">
        <v>64</v>
      </c>
      <c r="C65" t="s">
        <v>114</v>
      </c>
      <c r="D65" s="35">
        <v>6938.7</v>
      </c>
      <c r="E65" s="36">
        <v>40236997</v>
      </c>
      <c r="F65" s="36">
        <f t="shared" si="0"/>
        <v>5798.9244382953584</v>
      </c>
    </row>
    <row r="66" spans="1:6" x14ac:dyDescent="0.35">
      <c r="A66">
        <v>2022</v>
      </c>
      <c r="B66" s="34">
        <v>65</v>
      </c>
      <c r="C66" t="s">
        <v>122</v>
      </c>
      <c r="D66" s="35">
        <v>2520.75</v>
      </c>
      <c r="E66" s="36">
        <v>13642468</v>
      </c>
      <c r="F66" s="36">
        <f t="shared" si="0"/>
        <v>5412.0670435386292</v>
      </c>
    </row>
    <row r="67" spans="1:6" x14ac:dyDescent="0.35">
      <c r="A67">
        <v>2022</v>
      </c>
      <c r="B67" s="34">
        <v>66</v>
      </c>
      <c r="C67" t="s">
        <v>16</v>
      </c>
      <c r="D67" s="35">
        <v>1324.1</v>
      </c>
      <c r="E67" s="36">
        <v>7385171</v>
      </c>
      <c r="F67" s="36">
        <f t="shared" ref="F67:F130" si="1">E67/D67</f>
        <v>5577.5024544973949</v>
      </c>
    </row>
    <row r="68" spans="1:6" x14ac:dyDescent="0.35">
      <c r="A68">
        <v>2022</v>
      </c>
      <c r="B68" s="34">
        <v>67</v>
      </c>
      <c r="C68" t="s">
        <v>166</v>
      </c>
      <c r="D68" s="35">
        <v>2186.9499999999998</v>
      </c>
      <c r="E68" s="36">
        <v>13136865</v>
      </c>
      <c r="F68" s="36">
        <f t="shared" si="1"/>
        <v>6006.9343149134647</v>
      </c>
    </row>
    <row r="69" spans="1:6" x14ac:dyDescent="0.35">
      <c r="A69">
        <v>2022</v>
      </c>
      <c r="B69" s="34">
        <v>101</v>
      </c>
      <c r="C69" t="s">
        <v>225</v>
      </c>
      <c r="D69" s="35">
        <v>5722.85</v>
      </c>
      <c r="E69" s="36">
        <v>33314692</v>
      </c>
      <c r="F69" s="36">
        <f t="shared" si="1"/>
        <v>5821.3463571472248</v>
      </c>
    </row>
    <row r="70" spans="1:6" x14ac:dyDescent="0.35">
      <c r="A70">
        <v>2022</v>
      </c>
      <c r="B70" s="34">
        <v>102</v>
      </c>
      <c r="C70" t="s">
        <v>90</v>
      </c>
      <c r="D70" s="35">
        <v>2853.45</v>
      </c>
      <c r="E70" s="36">
        <v>15614790</v>
      </c>
      <c r="F70" s="36">
        <f t="shared" si="1"/>
        <v>5472.2493823266577</v>
      </c>
    </row>
    <row r="71" spans="1:6" x14ac:dyDescent="0.35">
      <c r="A71">
        <v>2022</v>
      </c>
      <c r="B71" s="34">
        <v>103</v>
      </c>
      <c r="C71" t="s">
        <v>227</v>
      </c>
      <c r="D71" s="35">
        <v>6076.5</v>
      </c>
      <c r="E71" s="36">
        <v>34347674</v>
      </c>
      <c r="F71" s="36">
        <f t="shared" si="1"/>
        <v>5652.5424175100798</v>
      </c>
    </row>
    <row r="72" spans="1:6" x14ac:dyDescent="0.35">
      <c r="A72">
        <v>2022</v>
      </c>
      <c r="B72" s="34">
        <v>104</v>
      </c>
      <c r="C72" t="s">
        <v>150</v>
      </c>
      <c r="D72" s="35">
        <v>1724.2</v>
      </c>
      <c r="E72" s="36">
        <v>9916550</v>
      </c>
      <c r="F72" s="36">
        <f t="shared" si="1"/>
        <v>5751.391949889804</v>
      </c>
    </row>
    <row r="73" spans="1:6" x14ac:dyDescent="0.35">
      <c r="A73">
        <v>2022</v>
      </c>
      <c r="B73" s="34">
        <v>105</v>
      </c>
      <c r="C73" t="s">
        <v>48</v>
      </c>
      <c r="D73" s="35">
        <v>1738.75</v>
      </c>
      <c r="E73" s="36">
        <v>9795688</v>
      </c>
      <c r="F73" s="36">
        <f t="shared" si="1"/>
        <v>5633.7529834651332</v>
      </c>
    </row>
    <row r="74" spans="1:6" x14ac:dyDescent="0.35">
      <c r="A74">
        <v>2022</v>
      </c>
      <c r="B74" s="34">
        <v>106</v>
      </c>
      <c r="C74" t="s">
        <v>229</v>
      </c>
      <c r="D74" s="35">
        <v>2509.6999999999998</v>
      </c>
      <c r="E74" s="36">
        <v>15164795</v>
      </c>
      <c r="F74" s="36">
        <f t="shared" si="1"/>
        <v>6042.4732039686023</v>
      </c>
    </row>
    <row r="75" spans="1:6" x14ac:dyDescent="0.35">
      <c r="A75">
        <v>2022</v>
      </c>
      <c r="B75" s="34">
        <v>107</v>
      </c>
      <c r="C75" t="s">
        <v>231</v>
      </c>
      <c r="D75" s="35">
        <v>4533.25</v>
      </c>
      <c r="E75" s="36">
        <v>26587365</v>
      </c>
      <c r="F75" s="36">
        <f t="shared" si="1"/>
        <v>5864.9677383775434</v>
      </c>
    </row>
    <row r="76" spans="1:6" x14ac:dyDescent="0.35">
      <c r="A76">
        <v>2022</v>
      </c>
      <c r="B76" s="34">
        <v>109</v>
      </c>
      <c r="C76" t="s">
        <v>72</v>
      </c>
      <c r="D76" s="35">
        <v>1440.35</v>
      </c>
      <c r="E76" s="36">
        <v>9042663</v>
      </c>
      <c r="F76" s="36">
        <f t="shared" si="1"/>
        <v>6278.101155969036</v>
      </c>
    </row>
    <row r="77" spans="1:6" x14ac:dyDescent="0.35">
      <c r="A77">
        <v>2022</v>
      </c>
      <c r="B77" s="34">
        <v>110</v>
      </c>
      <c r="C77" t="s">
        <v>233</v>
      </c>
      <c r="D77" s="35">
        <v>8953.5499999999993</v>
      </c>
      <c r="E77" s="36">
        <v>45512228</v>
      </c>
      <c r="F77" s="36">
        <f t="shared" si="1"/>
        <v>5083.1489185853661</v>
      </c>
    </row>
    <row r="78" spans="1:6" x14ac:dyDescent="0.35">
      <c r="A78">
        <v>2022</v>
      </c>
      <c r="B78" s="34">
        <v>113</v>
      </c>
      <c r="C78" t="s">
        <v>78</v>
      </c>
      <c r="D78" s="35">
        <v>3229.1</v>
      </c>
      <c r="E78" s="36">
        <v>17113648</v>
      </c>
      <c r="F78" s="36">
        <f t="shared" si="1"/>
        <v>5299.8197640209346</v>
      </c>
    </row>
    <row r="79" spans="1:6" x14ac:dyDescent="0.35">
      <c r="A79">
        <v>2022</v>
      </c>
      <c r="B79" s="34">
        <v>114</v>
      </c>
      <c r="C79" t="s">
        <v>94</v>
      </c>
      <c r="D79" s="35">
        <v>20818.75</v>
      </c>
      <c r="E79" s="36">
        <v>105370289</v>
      </c>
      <c r="F79" s="36">
        <f t="shared" si="1"/>
        <v>5061.3167937556291</v>
      </c>
    </row>
    <row r="80" spans="1:6" x14ac:dyDescent="0.35">
      <c r="A80">
        <v>2022</v>
      </c>
      <c r="B80" s="34">
        <v>115</v>
      </c>
      <c r="C80" t="s">
        <v>74</v>
      </c>
      <c r="D80" s="35">
        <v>2337.4499999999998</v>
      </c>
      <c r="E80" s="36">
        <v>14270001</v>
      </c>
      <c r="F80" s="36">
        <f t="shared" si="1"/>
        <v>6104.9438490662906</v>
      </c>
    </row>
    <row r="81" spans="1:6" x14ac:dyDescent="0.35">
      <c r="A81">
        <v>2022</v>
      </c>
      <c r="B81" s="34">
        <v>116</v>
      </c>
      <c r="C81" t="s">
        <v>235</v>
      </c>
      <c r="D81" s="35">
        <v>1145.4000000000001</v>
      </c>
      <c r="E81" s="36">
        <v>7012966</v>
      </c>
      <c r="F81" s="36">
        <f t="shared" si="1"/>
        <v>6122.7221931203067</v>
      </c>
    </row>
    <row r="82" spans="1:6" x14ac:dyDescent="0.35">
      <c r="A82">
        <v>2022</v>
      </c>
      <c r="B82" s="34">
        <v>121</v>
      </c>
      <c r="C82" t="s">
        <v>96</v>
      </c>
      <c r="D82" s="35">
        <v>2691.3</v>
      </c>
      <c r="E82" s="36">
        <v>15818104</v>
      </c>
      <c r="F82" s="36">
        <f t="shared" si="1"/>
        <v>5877.4956340801837</v>
      </c>
    </row>
    <row r="83" spans="1:6" x14ac:dyDescent="0.35">
      <c r="A83">
        <v>2022</v>
      </c>
      <c r="B83" s="34">
        <v>125</v>
      </c>
      <c r="C83" t="s">
        <v>237</v>
      </c>
      <c r="D83" s="35">
        <v>3163.4</v>
      </c>
      <c r="E83" s="36">
        <v>16864220</v>
      </c>
      <c r="F83" s="36">
        <f t="shared" si="1"/>
        <v>5331.0425491559708</v>
      </c>
    </row>
    <row r="84" spans="1:6" x14ac:dyDescent="0.35">
      <c r="A84">
        <v>2022</v>
      </c>
      <c r="B84" s="34">
        <v>126</v>
      </c>
      <c r="C84" t="s">
        <v>52</v>
      </c>
      <c r="D84" s="35">
        <v>1084.8499999999999</v>
      </c>
      <c r="E84" s="36">
        <v>6545338</v>
      </c>
      <c r="F84" s="36">
        <f t="shared" si="1"/>
        <v>6033.4036963635526</v>
      </c>
    </row>
    <row r="85" spans="1:6" x14ac:dyDescent="0.35">
      <c r="A85">
        <v>2022</v>
      </c>
      <c r="B85" s="34">
        <v>127</v>
      </c>
      <c r="C85" t="s">
        <v>140</v>
      </c>
      <c r="D85" s="35">
        <v>8520.35</v>
      </c>
      <c r="E85" s="36">
        <v>46916521</v>
      </c>
      <c r="F85" s="36">
        <f t="shared" si="1"/>
        <v>5506.4077179928054</v>
      </c>
    </row>
    <row r="86" spans="1:6" x14ac:dyDescent="0.35">
      <c r="A86">
        <v>2022</v>
      </c>
      <c r="B86" s="34">
        <v>128</v>
      </c>
      <c r="C86" t="s">
        <v>142</v>
      </c>
      <c r="D86" s="35">
        <v>2052.9499999999998</v>
      </c>
      <c r="E86" s="36">
        <v>12425159</v>
      </c>
      <c r="F86" s="36">
        <f t="shared" si="1"/>
        <v>6052.3437005285086</v>
      </c>
    </row>
    <row r="87" spans="1:6" x14ac:dyDescent="0.35">
      <c r="A87">
        <v>2022</v>
      </c>
      <c r="B87" s="34">
        <v>130</v>
      </c>
      <c r="C87" t="s">
        <v>32</v>
      </c>
      <c r="D87" s="35">
        <v>8049.6</v>
      </c>
      <c r="E87" s="36">
        <v>41637261</v>
      </c>
      <c r="F87" s="36">
        <f t="shared" si="1"/>
        <v>5172.5875819916519</v>
      </c>
    </row>
    <row r="88" spans="1:6" x14ac:dyDescent="0.35">
      <c r="A88">
        <v>2022</v>
      </c>
      <c r="B88" s="34">
        <v>131</v>
      </c>
      <c r="C88" t="s">
        <v>118</v>
      </c>
      <c r="D88" s="35">
        <v>612.29999999999995</v>
      </c>
      <c r="E88" s="36">
        <v>3878267</v>
      </c>
      <c r="F88" s="36">
        <f t="shared" si="1"/>
        <v>6333.9327127225224</v>
      </c>
    </row>
    <row r="89" spans="1:6" x14ac:dyDescent="0.35">
      <c r="A89">
        <v>2022</v>
      </c>
      <c r="B89" s="34">
        <v>132</v>
      </c>
      <c r="C89" t="s">
        <v>239</v>
      </c>
      <c r="D89" s="35">
        <v>6531.35</v>
      </c>
      <c r="E89" s="36">
        <v>37969715</v>
      </c>
      <c r="F89" s="36">
        <f t="shared" si="1"/>
        <v>5813.4558705321251</v>
      </c>
    </row>
    <row r="90" spans="1:6" x14ac:dyDescent="0.35">
      <c r="A90">
        <v>2022</v>
      </c>
      <c r="B90" s="34">
        <v>133</v>
      </c>
      <c r="C90" t="s">
        <v>241</v>
      </c>
      <c r="D90" s="35">
        <v>6375.65</v>
      </c>
      <c r="E90" s="36">
        <v>36425145</v>
      </c>
      <c r="F90" s="36">
        <f t="shared" si="1"/>
        <v>5713.1657164367562</v>
      </c>
    </row>
    <row r="91" spans="1:6" x14ac:dyDescent="0.35">
      <c r="A91">
        <v>2022</v>
      </c>
      <c r="B91" s="34">
        <v>137</v>
      </c>
      <c r="C91" t="s">
        <v>38</v>
      </c>
      <c r="D91" s="35">
        <v>1534.15</v>
      </c>
      <c r="E91" s="36">
        <v>9186923</v>
      </c>
      <c r="F91" s="36">
        <f t="shared" si="1"/>
        <v>5988.2821106149986</v>
      </c>
    </row>
    <row r="92" spans="1:6" x14ac:dyDescent="0.35">
      <c r="A92">
        <v>2022</v>
      </c>
      <c r="B92" s="34">
        <v>141</v>
      </c>
      <c r="C92" t="s">
        <v>243</v>
      </c>
      <c r="D92" s="35">
        <v>4476.75</v>
      </c>
      <c r="E92" s="36">
        <v>24723734</v>
      </c>
      <c r="F92" s="36">
        <f t="shared" si="1"/>
        <v>5522.6970458479927</v>
      </c>
    </row>
    <row r="93" spans="1:6" x14ac:dyDescent="0.35">
      <c r="A93">
        <v>2022</v>
      </c>
      <c r="B93" s="34">
        <v>143</v>
      </c>
      <c r="C93" t="s">
        <v>100</v>
      </c>
      <c r="D93" s="35">
        <v>3353.5</v>
      </c>
      <c r="E93" s="36">
        <v>19776344</v>
      </c>
      <c r="F93" s="36">
        <f t="shared" si="1"/>
        <v>5897.224988817653</v>
      </c>
    </row>
    <row r="94" spans="1:6" x14ac:dyDescent="0.35">
      <c r="A94">
        <v>2022</v>
      </c>
      <c r="B94" s="34">
        <v>144</v>
      </c>
      <c r="C94" t="s">
        <v>34</v>
      </c>
      <c r="D94" s="35">
        <v>4824.95</v>
      </c>
      <c r="E94" s="36">
        <v>27980332</v>
      </c>
      <c r="F94" s="36">
        <f t="shared" si="1"/>
        <v>5799.0926330842813</v>
      </c>
    </row>
    <row r="95" spans="1:6" x14ac:dyDescent="0.35">
      <c r="A95">
        <v>2022</v>
      </c>
      <c r="B95" s="34">
        <v>146</v>
      </c>
      <c r="C95" t="s">
        <v>245</v>
      </c>
      <c r="D95" s="35">
        <v>1231.9000000000001</v>
      </c>
      <c r="E95" s="36">
        <v>7812711</v>
      </c>
      <c r="F95" s="36">
        <f t="shared" si="1"/>
        <v>6342.0009741050408</v>
      </c>
    </row>
    <row r="96" spans="1:6" x14ac:dyDescent="0.35">
      <c r="A96">
        <v>2022</v>
      </c>
      <c r="B96" s="34">
        <v>152</v>
      </c>
      <c r="C96" t="s">
        <v>247</v>
      </c>
      <c r="D96" s="35">
        <v>2156.3000000000002</v>
      </c>
      <c r="E96" s="36">
        <v>5951138</v>
      </c>
      <c r="F96" s="36">
        <f t="shared" si="1"/>
        <v>2759.8840606594626</v>
      </c>
    </row>
    <row r="97" spans="1:6" x14ac:dyDescent="0.35">
      <c r="A97">
        <v>2022</v>
      </c>
      <c r="B97" s="34">
        <v>154</v>
      </c>
      <c r="C97" t="s">
        <v>249</v>
      </c>
      <c r="D97" s="35">
        <v>1767.8</v>
      </c>
      <c r="E97" s="36">
        <v>9840380</v>
      </c>
      <c r="F97" s="36">
        <f t="shared" si="1"/>
        <v>5566.4554813892973</v>
      </c>
    </row>
    <row r="98" spans="1:6" x14ac:dyDescent="0.35">
      <c r="A98">
        <v>2022</v>
      </c>
      <c r="B98" s="34">
        <v>155</v>
      </c>
      <c r="C98" t="s">
        <v>124</v>
      </c>
      <c r="D98" s="35">
        <v>1573.9</v>
      </c>
      <c r="E98" s="36">
        <v>9609492</v>
      </c>
      <c r="F98" s="36">
        <f t="shared" si="1"/>
        <v>6105.5289408475755</v>
      </c>
    </row>
    <row r="99" spans="1:6" x14ac:dyDescent="0.35">
      <c r="A99">
        <v>2022</v>
      </c>
      <c r="B99" s="34">
        <v>156</v>
      </c>
      <c r="C99" t="s">
        <v>251</v>
      </c>
      <c r="D99" s="35">
        <v>3412.2</v>
      </c>
      <c r="E99" s="36">
        <v>21183073</v>
      </c>
      <c r="F99" s="36">
        <f t="shared" si="1"/>
        <v>6208.0396811441306</v>
      </c>
    </row>
    <row r="100" spans="1:6" x14ac:dyDescent="0.35">
      <c r="A100">
        <v>2022</v>
      </c>
      <c r="B100" s="34">
        <v>157</v>
      </c>
      <c r="C100" t="s">
        <v>253</v>
      </c>
      <c r="D100" s="35">
        <v>4177.1499999999996</v>
      </c>
      <c r="E100" s="36">
        <v>19981039</v>
      </c>
      <c r="F100" s="36">
        <f t="shared" si="1"/>
        <v>4783.4142896472476</v>
      </c>
    </row>
    <row r="101" spans="1:6" x14ac:dyDescent="0.35">
      <c r="A101">
        <v>2022</v>
      </c>
      <c r="B101" s="34">
        <v>158</v>
      </c>
      <c r="C101" t="s">
        <v>255</v>
      </c>
      <c r="D101" s="35">
        <v>13430.35</v>
      </c>
      <c r="E101" s="36">
        <v>65008983</v>
      </c>
      <c r="F101" s="36">
        <f t="shared" si="1"/>
        <v>4840.4533761219918</v>
      </c>
    </row>
    <row r="102" spans="1:6" x14ac:dyDescent="0.35">
      <c r="A102">
        <v>2022</v>
      </c>
      <c r="B102" s="34">
        <v>159</v>
      </c>
      <c r="C102" t="s">
        <v>257</v>
      </c>
      <c r="D102" s="35">
        <v>22869.25</v>
      </c>
      <c r="E102" s="36">
        <v>113998048</v>
      </c>
      <c r="F102" s="36">
        <f t="shared" si="1"/>
        <v>4984.7742274014236</v>
      </c>
    </row>
    <row r="103" spans="1:6" x14ac:dyDescent="0.35">
      <c r="A103">
        <v>2022</v>
      </c>
      <c r="B103" s="34">
        <v>162</v>
      </c>
      <c r="C103" t="s">
        <v>259</v>
      </c>
      <c r="D103" s="35">
        <v>1620.95</v>
      </c>
      <c r="E103" s="36">
        <v>9674201</v>
      </c>
      <c r="F103" s="36">
        <f t="shared" si="1"/>
        <v>5968.2291248958945</v>
      </c>
    </row>
    <row r="104" spans="1:6" x14ac:dyDescent="0.35">
      <c r="A104">
        <v>2022</v>
      </c>
      <c r="B104" s="34">
        <v>163</v>
      </c>
      <c r="C104" t="s">
        <v>261</v>
      </c>
      <c r="D104" s="35">
        <v>2557.6</v>
      </c>
      <c r="E104" s="36">
        <v>14311317</v>
      </c>
      <c r="F104" s="36">
        <f t="shared" si="1"/>
        <v>5595.6040819518303</v>
      </c>
    </row>
    <row r="105" spans="1:6" x14ac:dyDescent="0.35">
      <c r="A105">
        <v>2022</v>
      </c>
      <c r="B105" s="34">
        <v>165</v>
      </c>
      <c r="C105" t="s">
        <v>8</v>
      </c>
      <c r="D105" s="35">
        <v>943.15</v>
      </c>
      <c r="E105" s="36">
        <v>5866087</v>
      </c>
      <c r="F105" s="36">
        <f t="shared" si="1"/>
        <v>6219.6755553199382</v>
      </c>
    </row>
    <row r="106" spans="1:6" x14ac:dyDescent="0.35">
      <c r="A106">
        <v>2022</v>
      </c>
      <c r="B106" s="34">
        <v>167</v>
      </c>
      <c r="C106" t="s">
        <v>263</v>
      </c>
      <c r="D106" s="35">
        <v>1951.65</v>
      </c>
      <c r="E106" s="36">
        <v>11400310</v>
      </c>
      <c r="F106" s="36">
        <f t="shared" si="1"/>
        <v>5841.3701227166757</v>
      </c>
    </row>
    <row r="107" spans="1:6" x14ac:dyDescent="0.35">
      <c r="A107">
        <v>2022</v>
      </c>
      <c r="B107" s="34">
        <v>168</v>
      </c>
      <c r="C107" t="s">
        <v>82</v>
      </c>
      <c r="D107" s="35">
        <v>478.4</v>
      </c>
      <c r="E107" s="36">
        <v>3312362</v>
      </c>
      <c r="F107" s="36">
        <f t="shared" si="1"/>
        <v>6923.8336120401345</v>
      </c>
    </row>
    <row r="108" spans="1:6" x14ac:dyDescent="0.35">
      <c r="A108">
        <v>2022</v>
      </c>
      <c r="B108" s="34">
        <v>169</v>
      </c>
      <c r="C108" t="s">
        <v>265</v>
      </c>
      <c r="D108" s="35">
        <v>11512.95</v>
      </c>
      <c r="E108" s="36">
        <v>63744839</v>
      </c>
      <c r="F108" s="36">
        <f t="shared" si="1"/>
        <v>5536.7945661190224</v>
      </c>
    </row>
    <row r="109" spans="1:6" x14ac:dyDescent="0.35">
      <c r="A109">
        <v>2022</v>
      </c>
      <c r="B109" s="34">
        <v>171</v>
      </c>
      <c r="C109" t="s">
        <v>30</v>
      </c>
      <c r="D109" s="35">
        <v>1013.4</v>
      </c>
      <c r="E109" s="36">
        <v>6315048</v>
      </c>
      <c r="F109" s="36">
        <f t="shared" si="1"/>
        <v>6231.5452930728243</v>
      </c>
    </row>
    <row r="110" spans="1:6" x14ac:dyDescent="0.35">
      <c r="A110">
        <v>2022</v>
      </c>
      <c r="B110" s="34">
        <v>175</v>
      </c>
      <c r="C110" t="s">
        <v>267</v>
      </c>
      <c r="D110" s="35">
        <v>4375.6000000000004</v>
      </c>
      <c r="E110" s="36">
        <v>21823114</v>
      </c>
      <c r="F110" s="36">
        <f t="shared" si="1"/>
        <v>4987.456348843587</v>
      </c>
    </row>
    <row r="111" spans="1:6" x14ac:dyDescent="0.35">
      <c r="A111">
        <v>2022</v>
      </c>
      <c r="B111" s="34">
        <v>176</v>
      </c>
      <c r="C111" t="s">
        <v>269</v>
      </c>
      <c r="D111" s="35">
        <v>2771.5</v>
      </c>
      <c r="E111" s="36">
        <v>16448066</v>
      </c>
      <c r="F111" s="36">
        <f t="shared" si="1"/>
        <v>5934.7162186541582</v>
      </c>
    </row>
    <row r="112" spans="1:6" x14ac:dyDescent="0.35">
      <c r="A112">
        <v>2022</v>
      </c>
      <c r="B112" s="34">
        <v>177</v>
      </c>
      <c r="C112" t="s">
        <v>271</v>
      </c>
      <c r="D112" s="35">
        <v>3401.55</v>
      </c>
      <c r="E112" s="36">
        <v>17184017</v>
      </c>
      <c r="F112" s="36">
        <f t="shared" si="1"/>
        <v>5051.8196116476311</v>
      </c>
    </row>
    <row r="113" spans="1:6" x14ac:dyDescent="0.35">
      <c r="A113">
        <v>2022</v>
      </c>
      <c r="B113" s="34">
        <v>178</v>
      </c>
      <c r="C113" t="s">
        <v>273</v>
      </c>
      <c r="D113" s="35">
        <v>1429.15</v>
      </c>
      <c r="E113" s="36">
        <v>8674517</v>
      </c>
      <c r="F113" s="36">
        <f t="shared" si="1"/>
        <v>6069.7036700136441</v>
      </c>
    </row>
    <row r="114" spans="1:6" x14ac:dyDescent="0.35">
      <c r="A114">
        <v>2022</v>
      </c>
      <c r="B114" s="34">
        <v>179</v>
      </c>
      <c r="C114" t="s">
        <v>58</v>
      </c>
      <c r="D114" s="35">
        <v>4688.3</v>
      </c>
      <c r="E114" s="36">
        <v>24549408</v>
      </c>
      <c r="F114" s="36">
        <f t="shared" si="1"/>
        <v>5236.313375850521</v>
      </c>
    </row>
    <row r="115" spans="1:6" x14ac:dyDescent="0.35">
      <c r="A115">
        <v>2022</v>
      </c>
      <c r="B115" s="34">
        <v>180</v>
      </c>
      <c r="C115" t="s">
        <v>132</v>
      </c>
      <c r="D115" s="35">
        <v>1227.95</v>
      </c>
      <c r="E115" s="36">
        <v>7752174</v>
      </c>
      <c r="F115" s="36">
        <f t="shared" si="1"/>
        <v>6313.102325013233</v>
      </c>
    </row>
    <row r="116" spans="1:6" x14ac:dyDescent="0.35">
      <c r="A116">
        <v>2022</v>
      </c>
      <c r="B116" s="34">
        <v>181</v>
      </c>
      <c r="C116" t="s">
        <v>160</v>
      </c>
      <c r="D116" s="35">
        <v>4050.1</v>
      </c>
      <c r="E116" s="36">
        <v>22296631</v>
      </c>
      <c r="F116" s="36">
        <f t="shared" si="1"/>
        <v>5505.2050566652679</v>
      </c>
    </row>
    <row r="117" spans="1:6" x14ac:dyDescent="0.35">
      <c r="A117">
        <v>2022</v>
      </c>
      <c r="B117" s="34">
        <v>182</v>
      </c>
      <c r="C117" t="s">
        <v>64</v>
      </c>
      <c r="D117" s="35">
        <v>1947</v>
      </c>
      <c r="E117" s="36">
        <v>11606699</v>
      </c>
      <c r="F117" s="36">
        <f t="shared" si="1"/>
        <v>5961.324601951721</v>
      </c>
    </row>
    <row r="118" spans="1:6" x14ac:dyDescent="0.35">
      <c r="A118">
        <v>2022</v>
      </c>
      <c r="B118" s="34">
        <v>183</v>
      </c>
      <c r="C118" t="s">
        <v>275</v>
      </c>
      <c r="D118" s="35">
        <v>3942.55</v>
      </c>
      <c r="E118" s="36">
        <v>22993306</v>
      </c>
      <c r="F118" s="36">
        <f t="shared" si="1"/>
        <v>5832.0898910603537</v>
      </c>
    </row>
    <row r="119" spans="1:6" x14ac:dyDescent="0.35">
      <c r="A119">
        <v>2022</v>
      </c>
      <c r="B119" s="34">
        <v>184</v>
      </c>
      <c r="C119" t="s">
        <v>54</v>
      </c>
      <c r="D119" s="35">
        <v>7073.6</v>
      </c>
      <c r="E119" s="36">
        <v>42706690</v>
      </c>
      <c r="F119" s="36">
        <f t="shared" si="1"/>
        <v>6037.4759669757968</v>
      </c>
    </row>
    <row r="120" spans="1:6" x14ac:dyDescent="0.35">
      <c r="A120">
        <v>2022</v>
      </c>
      <c r="B120" s="34">
        <v>185</v>
      </c>
      <c r="C120" t="s">
        <v>98</v>
      </c>
      <c r="D120" s="35">
        <v>1096.4000000000001</v>
      </c>
      <c r="E120" s="36">
        <v>7144969</v>
      </c>
      <c r="F120" s="36">
        <f t="shared" si="1"/>
        <v>6516.7539219263035</v>
      </c>
    </row>
    <row r="121" spans="1:6" x14ac:dyDescent="0.35">
      <c r="A121">
        <v>2022</v>
      </c>
      <c r="B121" s="34">
        <v>186</v>
      </c>
      <c r="C121" t="s">
        <v>277</v>
      </c>
      <c r="D121" s="35">
        <v>2407.15</v>
      </c>
      <c r="E121" s="36">
        <v>13404636</v>
      </c>
      <c r="F121" s="36">
        <f t="shared" si="1"/>
        <v>5568.6749890949877</v>
      </c>
    </row>
    <row r="122" spans="1:6" x14ac:dyDescent="0.35">
      <c r="A122">
        <v>2022</v>
      </c>
      <c r="B122" s="34">
        <v>187</v>
      </c>
      <c r="C122" t="s">
        <v>279</v>
      </c>
      <c r="D122" s="35">
        <v>3117.55</v>
      </c>
      <c r="E122" s="36">
        <v>17981180</v>
      </c>
      <c r="F122" s="36">
        <f t="shared" si="1"/>
        <v>5767.7278632259304</v>
      </c>
    </row>
    <row r="123" spans="1:6" x14ac:dyDescent="0.35">
      <c r="A123">
        <v>2022</v>
      </c>
      <c r="B123" s="34">
        <v>188</v>
      </c>
      <c r="C123" t="s">
        <v>281</v>
      </c>
      <c r="D123" s="35">
        <v>1394.5</v>
      </c>
      <c r="E123" s="36">
        <v>8637177</v>
      </c>
      <c r="F123" s="36">
        <f t="shared" si="1"/>
        <v>6193.744711366081</v>
      </c>
    </row>
    <row r="124" spans="1:6" x14ac:dyDescent="0.35">
      <c r="A124">
        <v>2022</v>
      </c>
      <c r="B124" s="34">
        <v>189</v>
      </c>
      <c r="C124" t="s">
        <v>50</v>
      </c>
      <c r="D124" s="35">
        <v>2442.0500000000002</v>
      </c>
      <c r="E124" s="36">
        <v>15062339</v>
      </c>
      <c r="F124" s="36">
        <f t="shared" si="1"/>
        <v>6167.9077004975325</v>
      </c>
    </row>
    <row r="125" spans="1:6" x14ac:dyDescent="0.35">
      <c r="A125">
        <v>2022</v>
      </c>
      <c r="B125" s="34">
        <v>190</v>
      </c>
      <c r="C125" t="s">
        <v>283</v>
      </c>
      <c r="D125" s="35">
        <v>2388.3000000000002</v>
      </c>
      <c r="E125" s="36">
        <v>13928390</v>
      </c>
      <c r="F125" s="36">
        <f t="shared" si="1"/>
        <v>5831.9264748984633</v>
      </c>
    </row>
    <row r="126" spans="1:6" x14ac:dyDescent="0.35">
      <c r="A126">
        <v>2022</v>
      </c>
      <c r="B126" s="34">
        <v>191</v>
      </c>
      <c r="C126" t="s">
        <v>22</v>
      </c>
      <c r="D126" s="35">
        <v>2674.2</v>
      </c>
      <c r="E126" s="36">
        <v>16169356</v>
      </c>
      <c r="F126" s="36">
        <f t="shared" si="1"/>
        <v>6046.4273427567123</v>
      </c>
    </row>
    <row r="127" spans="1:6" x14ac:dyDescent="0.35">
      <c r="A127">
        <v>2022</v>
      </c>
      <c r="B127" s="34">
        <v>192</v>
      </c>
      <c r="C127" t="s">
        <v>182</v>
      </c>
      <c r="D127" s="35">
        <v>972.1</v>
      </c>
      <c r="E127" s="36">
        <v>5745691</v>
      </c>
      <c r="F127" s="36">
        <f t="shared" si="1"/>
        <v>5910.5966464355515</v>
      </c>
    </row>
    <row r="128" spans="1:6" x14ac:dyDescent="0.35">
      <c r="A128">
        <v>2022</v>
      </c>
      <c r="B128" s="34">
        <v>193</v>
      </c>
      <c r="C128" t="s">
        <v>154</v>
      </c>
      <c r="D128" s="35">
        <v>2011</v>
      </c>
      <c r="E128" s="36">
        <v>11601797</v>
      </c>
      <c r="F128" s="36">
        <f t="shared" si="1"/>
        <v>5769.1680755842863</v>
      </c>
    </row>
    <row r="129" spans="1:6" x14ac:dyDescent="0.35">
      <c r="A129">
        <v>2022</v>
      </c>
      <c r="B129" s="34">
        <v>194</v>
      </c>
      <c r="C129" t="s">
        <v>12</v>
      </c>
      <c r="D129" s="35">
        <v>1803.55</v>
      </c>
      <c r="E129" s="36">
        <v>11051568</v>
      </c>
      <c r="F129" s="36">
        <f t="shared" si="1"/>
        <v>6127.6748634637243</v>
      </c>
    </row>
    <row r="130" spans="1:6" x14ac:dyDescent="0.35">
      <c r="A130">
        <v>2022</v>
      </c>
      <c r="B130" s="34">
        <v>195</v>
      </c>
      <c r="C130" t="s">
        <v>158</v>
      </c>
      <c r="D130" s="35">
        <v>1614.45</v>
      </c>
      <c r="E130" s="36">
        <v>9978672</v>
      </c>
      <c r="F130" s="36">
        <f t="shared" si="1"/>
        <v>6180.8492056118184</v>
      </c>
    </row>
    <row r="131" spans="1:6" x14ac:dyDescent="0.35">
      <c r="A131">
        <v>2022</v>
      </c>
      <c r="B131" s="34">
        <v>196</v>
      </c>
      <c r="C131" t="s">
        <v>285</v>
      </c>
      <c r="D131" s="35">
        <v>1481.35</v>
      </c>
      <c r="E131" s="36">
        <v>8829147</v>
      </c>
      <c r="F131" s="36">
        <f t="shared" ref="F131:F147" si="2">E131/D131</f>
        <v>5960.2031930333824</v>
      </c>
    </row>
    <row r="132" spans="1:6" x14ac:dyDescent="0.35">
      <c r="A132">
        <v>2022</v>
      </c>
      <c r="B132" s="34">
        <v>197</v>
      </c>
      <c r="C132" t="s">
        <v>287</v>
      </c>
      <c r="D132" s="35">
        <v>1183.5999999999999</v>
      </c>
      <c r="E132" s="36">
        <v>7185658</v>
      </c>
      <c r="F132" s="36">
        <f t="shared" si="2"/>
        <v>6071.0189253126064</v>
      </c>
    </row>
    <row r="133" spans="1:6" x14ac:dyDescent="0.35">
      <c r="A133">
        <v>2022</v>
      </c>
      <c r="B133" s="34">
        <v>198</v>
      </c>
      <c r="C133" t="s">
        <v>68</v>
      </c>
      <c r="D133" s="35">
        <v>1064.4000000000001</v>
      </c>
      <c r="E133" s="36">
        <v>6708634</v>
      </c>
      <c r="F133" s="36">
        <f t="shared" si="2"/>
        <v>6302.7376925967674</v>
      </c>
    </row>
    <row r="134" spans="1:6" x14ac:dyDescent="0.35">
      <c r="A134">
        <v>2022</v>
      </c>
      <c r="B134" s="34">
        <v>199</v>
      </c>
      <c r="C134" t="s">
        <v>80</v>
      </c>
      <c r="D134" s="35">
        <v>1645.6</v>
      </c>
      <c r="E134" s="36">
        <v>8860803</v>
      </c>
      <c r="F134" s="36">
        <f t="shared" si="2"/>
        <v>5384.5424161400097</v>
      </c>
    </row>
    <row r="135" spans="1:6" x14ac:dyDescent="0.35">
      <c r="A135">
        <v>2022</v>
      </c>
      <c r="B135" s="34">
        <v>200</v>
      </c>
      <c r="C135" t="s">
        <v>289</v>
      </c>
      <c r="D135" s="35">
        <v>10275.6</v>
      </c>
      <c r="E135" s="36">
        <v>51434508</v>
      </c>
      <c r="F135" s="36">
        <f t="shared" si="2"/>
        <v>5005.4992409202378</v>
      </c>
    </row>
    <row r="136" spans="1:6" x14ac:dyDescent="0.35">
      <c r="A136">
        <v>2022</v>
      </c>
      <c r="B136" s="34">
        <v>201</v>
      </c>
      <c r="C136" t="s">
        <v>162</v>
      </c>
      <c r="D136" s="35">
        <v>1429.75</v>
      </c>
      <c r="E136" s="36">
        <v>8993773</v>
      </c>
      <c r="F136" s="36">
        <f t="shared" si="2"/>
        <v>6290.4514775310372</v>
      </c>
    </row>
    <row r="137" spans="1:6" x14ac:dyDescent="0.35">
      <c r="A137">
        <v>2022</v>
      </c>
      <c r="B137" s="34">
        <v>202</v>
      </c>
      <c r="C137" t="s">
        <v>291</v>
      </c>
      <c r="D137" s="35">
        <v>7027.65</v>
      </c>
      <c r="E137" s="36">
        <v>37853794</v>
      </c>
      <c r="F137" s="36">
        <f t="shared" si="2"/>
        <v>5386.4085433964419</v>
      </c>
    </row>
    <row r="138" spans="1:6" x14ac:dyDescent="0.35">
      <c r="A138">
        <v>2022</v>
      </c>
      <c r="B138" s="34">
        <v>204</v>
      </c>
      <c r="C138" t="s">
        <v>293</v>
      </c>
      <c r="D138" s="35">
        <v>1242</v>
      </c>
      <c r="E138" s="36">
        <v>8010940</v>
      </c>
      <c r="F138" s="36">
        <f t="shared" si="2"/>
        <v>6450.0322061191628</v>
      </c>
    </row>
    <row r="139" spans="1:6" x14ac:dyDescent="0.35">
      <c r="A139">
        <v>2022</v>
      </c>
      <c r="B139" s="34">
        <v>205</v>
      </c>
      <c r="C139" t="s">
        <v>295</v>
      </c>
      <c r="D139" s="35">
        <v>4802.05</v>
      </c>
      <c r="E139" s="36">
        <v>25992095</v>
      </c>
      <c r="F139" s="36">
        <f t="shared" si="2"/>
        <v>5412.7081142428751</v>
      </c>
    </row>
    <row r="140" spans="1:6" x14ac:dyDescent="0.35">
      <c r="A140">
        <v>2022</v>
      </c>
      <c r="B140" s="34">
        <v>800</v>
      </c>
      <c r="C140" t="s">
        <v>130</v>
      </c>
      <c r="D140" s="35">
        <v>528.54999999999995</v>
      </c>
      <c r="E140" s="36">
        <v>3173766</v>
      </c>
      <c r="F140" s="36">
        <f t="shared" si="2"/>
        <v>6004.6655945511311</v>
      </c>
    </row>
    <row r="141" spans="1:6" x14ac:dyDescent="0.35">
      <c r="A141">
        <v>2022</v>
      </c>
      <c r="B141" s="34">
        <v>801</v>
      </c>
      <c r="C141" t="s">
        <v>172</v>
      </c>
      <c r="D141" s="35">
        <v>538</v>
      </c>
      <c r="E141" s="36">
        <v>3597148</v>
      </c>
      <c r="F141" s="36">
        <f t="shared" si="2"/>
        <v>6686.1486988847582</v>
      </c>
    </row>
    <row r="142" spans="1:6" x14ac:dyDescent="0.35">
      <c r="A142">
        <v>2022</v>
      </c>
      <c r="B142" s="34">
        <v>802</v>
      </c>
      <c r="C142" t="s">
        <v>40</v>
      </c>
      <c r="D142" s="35">
        <v>501.15</v>
      </c>
      <c r="E142" s="36">
        <v>3231379</v>
      </c>
      <c r="F142" s="36">
        <f t="shared" si="2"/>
        <v>6447.9277661378828</v>
      </c>
    </row>
    <row r="143" spans="1:6" x14ac:dyDescent="0.35">
      <c r="A143">
        <v>2022</v>
      </c>
      <c r="B143" s="34">
        <v>803</v>
      </c>
      <c r="C143" t="s">
        <v>20</v>
      </c>
      <c r="D143" s="35">
        <v>302.7</v>
      </c>
      <c r="E143" s="36">
        <v>2008308</v>
      </c>
      <c r="F143" s="36">
        <f t="shared" si="2"/>
        <v>6634.6481665014871</v>
      </c>
    </row>
    <row r="144" spans="1:6" x14ac:dyDescent="0.35">
      <c r="A144">
        <v>2022</v>
      </c>
      <c r="B144" s="34">
        <v>805</v>
      </c>
      <c r="C144" t="s">
        <v>10</v>
      </c>
      <c r="D144" s="35">
        <v>512.29999999999995</v>
      </c>
      <c r="E144" s="36">
        <v>3313118</v>
      </c>
      <c r="F144" s="36">
        <f t="shared" si="2"/>
        <v>6467.1442514151868</v>
      </c>
    </row>
    <row r="145" spans="1:6" x14ac:dyDescent="0.35">
      <c r="A145">
        <v>2022</v>
      </c>
      <c r="B145" s="34">
        <v>807</v>
      </c>
      <c r="C145" t="s">
        <v>307</v>
      </c>
      <c r="D145" s="35">
        <v>270</v>
      </c>
      <c r="E145" s="36">
        <v>2008644</v>
      </c>
      <c r="F145" s="36">
        <f t="shared" si="2"/>
        <v>7439.4222222222224</v>
      </c>
    </row>
    <row r="146" spans="1:6" x14ac:dyDescent="0.35">
      <c r="A146">
        <v>2022</v>
      </c>
      <c r="B146" s="34">
        <v>808</v>
      </c>
      <c r="C146" t="s">
        <v>308</v>
      </c>
      <c r="D146" s="35">
        <v>270</v>
      </c>
      <c r="E146" s="36">
        <v>1891915</v>
      </c>
      <c r="F146" s="36">
        <f t="shared" si="2"/>
        <v>7007.0925925925922</v>
      </c>
    </row>
    <row r="147" spans="1:6" x14ac:dyDescent="0.35">
      <c r="A147">
        <v>2022</v>
      </c>
      <c r="B147" s="34">
        <v>810</v>
      </c>
      <c r="C147" t="s">
        <v>309</v>
      </c>
      <c r="D147" s="35">
        <v>250</v>
      </c>
      <c r="E147" s="36">
        <v>1758506</v>
      </c>
      <c r="F147" s="36">
        <f t="shared" si="2"/>
        <v>7034.0240000000003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6CB2D-740E-49C2-A046-B98071A14A5D}">
  <dimension ref="A1:E86"/>
  <sheetViews>
    <sheetView workbookViewId="0">
      <selection activeCell="B1" sqref="B1"/>
    </sheetView>
  </sheetViews>
  <sheetFormatPr defaultColWidth="9.1796875" defaultRowHeight="14.5" x14ac:dyDescent="0.35"/>
  <cols>
    <col min="1" max="1" width="8.26953125" style="1" bestFit="1" customWidth="1"/>
    <col min="2" max="2" width="23.7265625" style="1" bestFit="1" customWidth="1"/>
    <col min="3" max="3" width="10.81640625" style="1" bestFit="1" customWidth="1"/>
    <col min="4" max="4" width="13.54296875" style="1" bestFit="1" customWidth="1"/>
    <col min="5" max="5" width="8.81640625" style="1" bestFit="1" customWidth="1"/>
    <col min="6" max="16384" width="9.1796875" style="1"/>
  </cols>
  <sheetData>
    <row r="1" spans="1:5" s="3" customFormat="1" ht="43.5" x14ac:dyDescent="0.35">
      <c r="A1" s="14" t="s">
        <v>5</v>
      </c>
      <c r="B1" s="14" t="s">
        <v>6</v>
      </c>
      <c r="C1" s="15" t="s">
        <v>185</v>
      </c>
      <c r="D1" s="15" t="s">
        <v>186</v>
      </c>
      <c r="E1" s="16" t="s">
        <v>187</v>
      </c>
    </row>
    <row r="2" spans="1:5" x14ac:dyDescent="0.35">
      <c r="A2" s="29" t="s">
        <v>61</v>
      </c>
      <c r="B2" s="17" t="s">
        <v>62</v>
      </c>
      <c r="C2" s="18">
        <v>646.70000000000005</v>
      </c>
      <c r="D2" s="19">
        <v>2990560</v>
      </c>
      <c r="E2" s="12">
        <f t="shared" ref="E2:E43" si="0">D2/C2</f>
        <v>4624.3389516004327</v>
      </c>
    </row>
    <row r="3" spans="1:5" x14ac:dyDescent="0.35">
      <c r="A3" s="29" t="s">
        <v>155</v>
      </c>
      <c r="B3" s="17" t="s">
        <v>156</v>
      </c>
      <c r="C3" s="18">
        <v>7612.05</v>
      </c>
      <c r="D3" s="19">
        <v>44501693</v>
      </c>
      <c r="E3" s="12">
        <f t="shared" si="0"/>
        <v>5846.2165908001125</v>
      </c>
    </row>
    <row r="4" spans="1:5" x14ac:dyDescent="0.35">
      <c r="A4" s="29" t="s">
        <v>65</v>
      </c>
      <c r="B4" s="17" t="s">
        <v>66</v>
      </c>
      <c r="C4" s="18">
        <v>1386.5</v>
      </c>
      <c r="D4" s="19">
        <v>8358327</v>
      </c>
      <c r="E4" s="12">
        <f t="shared" si="0"/>
        <v>6028.3642264695272</v>
      </c>
    </row>
    <row r="5" spans="1:5" x14ac:dyDescent="0.35">
      <c r="A5" s="29" t="s">
        <v>13</v>
      </c>
      <c r="B5" s="17" t="s">
        <v>14</v>
      </c>
      <c r="C5" s="18">
        <v>2825.3</v>
      </c>
      <c r="D5" s="19">
        <v>15824613</v>
      </c>
      <c r="E5" s="12">
        <f t="shared" si="0"/>
        <v>5601.0381198456798</v>
      </c>
    </row>
    <row r="6" spans="1:5" x14ac:dyDescent="0.35">
      <c r="A6" s="29" t="s">
        <v>101</v>
      </c>
      <c r="B6" s="17" t="s">
        <v>102</v>
      </c>
      <c r="C6" s="18">
        <v>3686.15</v>
      </c>
      <c r="D6" s="19">
        <v>21398029</v>
      </c>
      <c r="E6" s="12">
        <f t="shared" si="0"/>
        <v>5804.980535246802</v>
      </c>
    </row>
    <row r="7" spans="1:5" x14ac:dyDescent="0.35">
      <c r="A7" s="29" t="s">
        <v>69</v>
      </c>
      <c r="B7" s="17" t="s">
        <v>70</v>
      </c>
      <c r="C7" s="18">
        <v>7396.95</v>
      </c>
      <c r="D7" s="19">
        <v>42280015</v>
      </c>
      <c r="E7" s="12">
        <f t="shared" si="0"/>
        <v>5715.8714064580672</v>
      </c>
    </row>
    <row r="8" spans="1:5" x14ac:dyDescent="0.35">
      <c r="A8" s="29" t="s">
        <v>133</v>
      </c>
      <c r="B8" s="17" t="s">
        <v>134</v>
      </c>
      <c r="C8" s="18">
        <v>1070.75</v>
      </c>
      <c r="D8" s="19">
        <v>5197308</v>
      </c>
      <c r="E8" s="12">
        <f t="shared" si="0"/>
        <v>4853.8949334578565</v>
      </c>
    </row>
    <row r="9" spans="1:5" x14ac:dyDescent="0.35">
      <c r="A9" s="29" t="s">
        <v>83</v>
      </c>
      <c r="B9" s="17" t="s">
        <v>84</v>
      </c>
      <c r="C9" s="18">
        <v>1794.95</v>
      </c>
      <c r="D9" s="19">
        <v>11049112</v>
      </c>
      <c r="E9" s="12">
        <f t="shared" si="0"/>
        <v>6155.6656174266691</v>
      </c>
    </row>
    <row r="10" spans="1:5" x14ac:dyDescent="0.35">
      <c r="A10" s="29" t="s">
        <v>143</v>
      </c>
      <c r="B10" s="17" t="s">
        <v>144</v>
      </c>
      <c r="C10" s="18">
        <v>2436.1</v>
      </c>
      <c r="D10" s="19">
        <v>15171092</v>
      </c>
      <c r="E10" s="12">
        <f t="shared" si="0"/>
        <v>6227.6146299412994</v>
      </c>
    </row>
    <row r="11" spans="1:5" x14ac:dyDescent="0.35">
      <c r="A11" s="29" t="s">
        <v>137</v>
      </c>
      <c r="B11" s="17" t="s">
        <v>138</v>
      </c>
      <c r="C11" s="18">
        <v>2569.9499999999998</v>
      </c>
      <c r="D11" s="19">
        <v>14301358</v>
      </c>
      <c r="E11" s="12">
        <f t="shared" si="0"/>
        <v>5564.8390046498962</v>
      </c>
    </row>
    <row r="12" spans="1:5" x14ac:dyDescent="0.35">
      <c r="A12" s="29" t="s">
        <v>23</v>
      </c>
      <c r="B12" s="17" t="s">
        <v>24</v>
      </c>
      <c r="C12" s="18">
        <v>2498.65</v>
      </c>
      <c r="D12" s="19">
        <v>13027470</v>
      </c>
      <c r="E12" s="12">
        <f t="shared" si="0"/>
        <v>5213.8034538650872</v>
      </c>
    </row>
    <row r="13" spans="1:5" x14ac:dyDescent="0.35">
      <c r="A13" s="29" t="s">
        <v>119</v>
      </c>
      <c r="B13" s="17" t="s">
        <v>120</v>
      </c>
      <c r="C13" s="18">
        <v>2755.1</v>
      </c>
      <c r="D13" s="19">
        <v>16313072</v>
      </c>
      <c r="E13" s="12">
        <f t="shared" si="0"/>
        <v>5921.0453341076554</v>
      </c>
    </row>
    <row r="14" spans="1:5" x14ac:dyDescent="0.35">
      <c r="A14" s="29" t="s">
        <v>127</v>
      </c>
      <c r="B14" s="17" t="s">
        <v>128</v>
      </c>
      <c r="C14" s="18">
        <v>9185.0499999999993</v>
      </c>
      <c r="D14" s="19">
        <v>53858883</v>
      </c>
      <c r="E14" s="12">
        <f t="shared" si="0"/>
        <v>5863.7550149427607</v>
      </c>
    </row>
    <row r="15" spans="1:5" x14ac:dyDescent="0.35">
      <c r="A15" s="29" t="s">
        <v>125</v>
      </c>
      <c r="B15" s="17" t="s">
        <v>126</v>
      </c>
      <c r="C15" s="18">
        <v>3381.4</v>
      </c>
      <c r="D15" s="19">
        <v>20284382</v>
      </c>
      <c r="E15" s="12">
        <f t="shared" si="0"/>
        <v>5998.8117347844091</v>
      </c>
    </row>
    <row r="16" spans="1:5" x14ac:dyDescent="0.35">
      <c r="A16" s="29" t="s">
        <v>135</v>
      </c>
      <c r="B16" s="17" t="s">
        <v>136</v>
      </c>
      <c r="C16" s="18">
        <v>8332.75</v>
      </c>
      <c r="D16" s="19">
        <v>51464102</v>
      </c>
      <c r="E16" s="12">
        <f t="shared" si="0"/>
        <v>6176.1245687198107</v>
      </c>
    </row>
    <row r="17" spans="1:5" x14ac:dyDescent="0.35">
      <c r="A17" s="29" t="s">
        <v>103</v>
      </c>
      <c r="B17" s="17" t="s">
        <v>104</v>
      </c>
      <c r="C17" s="18">
        <v>2126</v>
      </c>
      <c r="D17" s="19">
        <v>12654895</v>
      </c>
      <c r="E17" s="12">
        <f t="shared" si="0"/>
        <v>5952.4435559736594</v>
      </c>
    </row>
    <row r="18" spans="1:5" x14ac:dyDescent="0.35">
      <c r="A18" s="29" t="s">
        <v>85</v>
      </c>
      <c r="B18" s="17" t="s">
        <v>86</v>
      </c>
      <c r="C18" s="18">
        <v>2538.85</v>
      </c>
      <c r="D18" s="19">
        <v>15723305</v>
      </c>
      <c r="E18" s="12">
        <f t="shared" si="0"/>
        <v>6193.0815132835733</v>
      </c>
    </row>
    <row r="19" spans="1:5" x14ac:dyDescent="0.35">
      <c r="A19" s="29" t="s">
        <v>75</v>
      </c>
      <c r="B19" s="17" t="s">
        <v>76</v>
      </c>
      <c r="C19" s="18">
        <v>913.05</v>
      </c>
      <c r="D19" s="19">
        <v>5006997</v>
      </c>
      <c r="E19" s="12">
        <f t="shared" si="0"/>
        <v>5483.8146870379496</v>
      </c>
    </row>
    <row r="20" spans="1:5" x14ac:dyDescent="0.35">
      <c r="A20" s="29" t="s">
        <v>43</v>
      </c>
      <c r="B20" s="17" t="s">
        <v>44</v>
      </c>
      <c r="C20" s="18">
        <v>2270.9499999999998</v>
      </c>
      <c r="D20" s="19">
        <v>13669194</v>
      </c>
      <c r="E20" s="12">
        <f t="shared" si="0"/>
        <v>6019.1523371276344</v>
      </c>
    </row>
    <row r="21" spans="1:5" x14ac:dyDescent="0.35">
      <c r="A21" s="29" t="s">
        <v>179</v>
      </c>
      <c r="B21" s="17" t="s">
        <v>180</v>
      </c>
      <c r="C21" s="18">
        <v>6177.6</v>
      </c>
      <c r="D21" s="19">
        <v>33410070</v>
      </c>
      <c r="E21" s="12">
        <f t="shared" si="0"/>
        <v>5408.2604895104896</v>
      </c>
    </row>
    <row r="22" spans="1:5" x14ac:dyDescent="0.35">
      <c r="A22" s="29" t="s">
        <v>87</v>
      </c>
      <c r="B22" s="17" t="s">
        <v>88</v>
      </c>
      <c r="C22" s="18">
        <v>34576.1</v>
      </c>
      <c r="D22" s="19">
        <v>193459257</v>
      </c>
      <c r="E22" s="12">
        <f t="shared" si="0"/>
        <v>5595.1728795323943</v>
      </c>
    </row>
    <row r="23" spans="1:5" x14ac:dyDescent="0.35">
      <c r="A23" s="29" t="s">
        <v>115</v>
      </c>
      <c r="B23" s="17" t="s">
        <v>116</v>
      </c>
      <c r="C23" s="18">
        <v>2190.5500000000002</v>
      </c>
      <c r="D23" s="19">
        <v>13160486</v>
      </c>
      <c r="E23" s="12">
        <f t="shared" si="0"/>
        <v>6007.8455182488415</v>
      </c>
    </row>
    <row r="24" spans="1:5" x14ac:dyDescent="0.35">
      <c r="A24" s="29" t="s">
        <v>175</v>
      </c>
      <c r="B24" s="17" t="s">
        <v>176</v>
      </c>
      <c r="C24" s="18">
        <v>9065.7000000000007</v>
      </c>
      <c r="D24" s="19">
        <v>50723328</v>
      </c>
      <c r="E24" s="12">
        <f t="shared" si="0"/>
        <v>5595.0812402792944</v>
      </c>
    </row>
    <row r="25" spans="1:5" x14ac:dyDescent="0.35">
      <c r="A25" s="29" t="s">
        <v>27</v>
      </c>
      <c r="B25" s="17" t="s">
        <v>28</v>
      </c>
      <c r="C25" s="18">
        <v>1306.05</v>
      </c>
      <c r="D25" s="19">
        <v>7625627</v>
      </c>
      <c r="E25" s="12">
        <f t="shared" si="0"/>
        <v>5838.6945369625973</v>
      </c>
    </row>
    <row r="26" spans="1:5" x14ac:dyDescent="0.35">
      <c r="A26" s="29" t="s">
        <v>105</v>
      </c>
      <c r="B26" s="17" t="s">
        <v>106</v>
      </c>
      <c r="C26" s="18">
        <v>1897.15</v>
      </c>
      <c r="D26" s="19">
        <v>11519743</v>
      </c>
      <c r="E26" s="12">
        <f t="shared" si="0"/>
        <v>6072.130827820678</v>
      </c>
    </row>
    <row r="27" spans="1:5" x14ac:dyDescent="0.35">
      <c r="A27" s="29" t="s">
        <v>17</v>
      </c>
      <c r="B27" s="17" t="s">
        <v>18</v>
      </c>
      <c r="C27" s="18">
        <v>912.15</v>
      </c>
      <c r="D27" s="19">
        <v>5135982</v>
      </c>
      <c r="E27" s="12">
        <f t="shared" si="0"/>
        <v>5630.6331195527055</v>
      </c>
    </row>
    <row r="28" spans="1:5" x14ac:dyDescent="0.35">
      <c r="A28" s="29" t="s">
        <v>163</v>
      </c>
      <c r="B28" s="17" t="s">
        <v>164</v>
      </c>
      <c r="C28" s="18">
        <v>3190.85</v>
      </c>
      <c r="D28" s="19">
        <v>18585384</v>
      </c>
      <c r="E28" s="12">
        <f t="shared" si="0"/>
        <v>5824.5871789648527</v>
      </c>
    </row>
    <row r="29" spans="1:5" x14ac:dyDescent="0.35">
      <c r="A29" s="29" t="s">
        <v>111</v>
      </c>
      <c r="B29" s="17" t="s">
        <v>112</v>
      </c>
      <c r="C29" s="18">
        <v>5528.45</v>
      </c>
      <c r="D29" s="19">
        <v>32356456</v>
      </c>
      <c r="E29" s="12">
        <f t="shared" si="0"/>
        <v>5852.7174886270113</v>
      </c>
    </row>
    <row r="30" spans="1:5" x14ac:dyDescent="0.35">
      <c r="A30" s="29" t="s">
        <v>183</v>
      </c>
      <c r="B30" s="17" t="s">
        <v>184</v>
      </c>
      <c r="C30" s="18">
        <v>51299.75</v>
      </c>
      <c r="D30" s="19">
        <v>273470885</v>
      </c>
      <c r="E30" s="12">
        <f t="shared" si="0"/>
        <v>5330.8424504992718</v>
      </c>
    </row>
    <row r="31" spans="1:5" x14ac:dyDescent="0.35">
      <c r="A31" s="29" t="s">
        <v>151</v>
      </c>
      <c r="B31" s="17" t="s">
        <v>152</v>
      </c>
      <c r="C31" s="18">
        <v>27503.9</v>
      </c>
      <c r="D31" s="19">
        <v>147258770</v>
      </c>
      <c r="E31" s="12">
        <f t="shared" si="0"/>
        <v>5354.1050541923141</v>
      </c>
    </row>
    <row r="32" spans="1:5" x14ac:dyDescent="0.35">
      <c r="A32" s="29" t="s">
        <v>177</v>
      </c>
      <c r="B32" s="17" t="s">
        <v>178</v>
      </c>
      <c r="C32" s="18">
        <v>7271.7</v>
      </c>
      <c r="D32" s="19">
        <v>38538076</v>
      </c>
      <c r="E32" s="12">
        <f t="shared" si="0"/>
        <v>5299.7340374327878</v>
      </c>
    </row>
    <row r="33" spans="1:5" x14ac:dyDescent="0.35">
      <c r="A33" s="29" t="s">
        <v>41</v>
      </c>
      <c r="B33" s="17" t="s">
        <v>42</v>
      </c>
      <c r="C33" s="18">
        <v>1123.1500000000001</v>
      </c>
      <c r="D33" s="19">
        <v>6455816</v>
      </c>
      <c r="E33" s="12">
        <f t="shared" si="0"/>
        <v>5747.9553042781454</v>
      </c>
    </row>
    <row r="34" spans="1:5" x14ac:dyDescent="0.35">
      <c r="A34" s="29" t="s">
        <v>25</v>
      </c>
      <c r="B34" s="17" t="s">
        <v>26</v>
      </c>
      <c r="C34" s="18">
        <v>2311.4499999999998</v>
      </c>
      <c r="D34" s="19">
        <v>14345659</v>
      </c>
      <c r="E34" s="12">
        <f t="shared" si="0"/>
        <v>6206.3462328841206</v>
      </c>
    </row>
    <row r="35" spans="1:5" x14ac:dyDescent="0.35">
      <c r="A35" s="29" t="s">
        <v>167</v>
      </c>
      <c r="B35" s="17" t="s">
        <v>168</v>
      </c>
      <c r="C35" s="18">
        <v>2102.3000000000002</v>
      </c>
      <c r="D35" s="19">
        <v>12345885</v>
      </c>
      <c r="E35" s="12">
        <f t="shared" si="0"/>
        <v>5872.5610046139936</v>
      </c>
    </row>
    <row r="36" spans="1:5" x14ac:dyDescent="0.35">
      <c r="A36" s="29" t="s">
        <v>45</v>
      </c>
      <c r="B36" s="17" t="s">
        <v>46</v>
      </c>
      <c r="C36" s="18">
        <v>1987</v>
      </c>
      <c r="D36" s="19">
        <v>11668672</v>
      </c>
      <c r="E36" s="12">
        <f t="shared" si="0"/>
        <v>5872.5072974333161</v>
      </c>
    </row>
    <row r="37" spans="1:5" x14ac:dyDescent="0.35">
      <c r="A37" s="29" t="s">
        <v>173</v>
      </c>
      <c r="B37" s="17" t="s">
        <v>174</v>
      </c>
      <c r="C37" s="18">
        <v>3396.95</v>
      </c>
      <c r="D37" s="19">
        <v>18768350</v>
      </c>
      <c r="E37" s="12">
        <f t="shared" si="0"/>
        <v>5525.059244322113</v>
      </c>
    </row>
    <row r="38" spans="1:5" x14ac:dyDescent="0.35">
      <c r="A38" s="29" t="s">
        <v>59</v>
      </c>
      <c r="B38" s="17" t="s">
        <v>60</v>
      </c>
      <c r="C38" s="18">
        <v>1138.25</v>
      </c>
      <c r="D38" s="19">
        <v>6372522</v>
      </c>
      <c r="E38" s="12">
        <f t="shared" si="0"/>
        <v>5598.5258071601138</v>
      </c>
    </row>
    <row r="39" spans="1:5" x14ac:dyDescent="0.35">
      <c r="A39" s="29" t="s">
        <v>35</v>
      </c>
      <c r="B39" s="17" t="s">
        <v>36</v>
      </c>
      <c r="C39" s="18">
        <v>6827.3</v>
      </c>
      <c r="D39" s="19">
        <v>37108153</v>
      </c>
      <c r="E39" s="12">
        <f t="shared" si="0"/>
        <v>5435.2603518228289</v>
      </c>
    </row>
    <row r="40" spans="1:5" x14ac:dyDescent="0.35">
      <c r="A40" s="29" t="s">
        <v>91</v>
      </c>
      <c r="B40" s="17" t="s">
        <v>92</v>
      </c>
      <c r="C40" s="18">
        <v>2684.55</v>
      </c>
      <c r="D40" s="19">
        <v>12798311</v>
      </c>
      <c r="E40" s="12">
        <f t="shared" si="0"/>
        <v>4767.3952804008113</v>
      </c>
    </row>
    <row r="41" spans="1:5" x14ac:dyDescent="0.35">
      <c r="A41" s="29" t="s">
        <v>169</v>
      </c>
      <c r="B41" s="17" t="s">
        <v>170</v>
      </c>
      <c r="C41" s="18">
        <v>18165.45</v>
      </c>
      <c r="D41" s="19">
        <v>100306154</v>
      </c>
      <c r="E41" s="12">
        <f t="shared" si="0"/>
        <v>5521.8094789834549</v>
      </c>
    </row>
    <row r="42" spans="1:5" x14ac:dyDescent="0.35">
      <c r="A42" s="29" t="s">
        <v>113</v>
      </c>
      <c r="B42" s="17" t="s">
        <v>114</v>
      </c>
      <c r="C42" s="18">
        <v>6938.7</v>
      </c>
      <c r="D42" s="19">
        <v>40211377</v>
      </c>
      <c r="E42" s="12">
        <f t="shared" si="0"/>
        <v>5795.2321039964263</v>
      </c>
    </row>
    <row r="43" spans="1:5" x14ac:dyDescent="0.35">
      <c r="A43" s="29" t="s">
        <v>121</v>
      </c>
      <c r="B43" s="17" t="s">
        <v>122</v>
      </c>
      <c r="C43" s="18">
        <v>2520.75</v>
      </c>
      <c r="D43" s="19">
        <v>12946856</v>
      </c>
      <c r="E43" s="12">
        <f t="shared" si="0"/>
        <v>5136.1126648814834</v>
      </c>
    </row>
    <row r="44" spans="1:5" x14ac:dyDescent="0.35">
      <c r="A44" s="29" t="s">
        <v>15</v>
      </c>
      <c r="B44" s="17" t="s">
        <v>16</v>
      </c>
      <c r="C44" s="18">
        <v>1324.1</v>
      </c>
      <c r="D44" s="19">
        <v>7795244</v>
      </c>
      <c r="E44" s="12">
        <f t="shared" ref="E44:E77" si="1">D44/C44</f>
        <v>5887.2018729703195</v>
      </c>
    </row>
    <row r="45" spans="1:5" x14ac:dyDescent="0.35">
      <c r="A45" s="29" t="s">
        <v>165</v>
      </c>
      <c r="B45" s="17" t="s">
        <v>166</v>
      </c>
      <c r="C45" s="18">
        <v>2186.9499999999998</v>
      </c>
      <c r="D45" s="19">
        <v>12819596</v>
      </c>
      <c r="E45" s="12">
        <f t="shared" si="1"/>
        <v>5861.8605820892117</v>
      </c>
    </row>
    <row r="46" spans="1:5" x14ac:dyDescent="0.35">
      <c r="A46" s="29" t="s">
        <v>89</v>
      </c>
      <c r="B46" s="17" t="s">
        <v>90</v>
      </c>
      <c r="C46" s="18">
        <v>2853.45</v>
      </c>
      <c r="D46" s="19">
        <v>15921063</v>
      </c>
      <c r="E46" s="12">
        <f t="shared" si="1"/>
        <v>5579.5836618829844</v>
      </c>
    </row>
    <row r="47" spans="1:5" x14ac:dyDescent="0.35">
      <c r="A47" s="29" t="s">
        <v>149</v>
      </c>
      <c r="B47" s="17" t="s">
        <v>150</v>
      </c>
      <c r="C47" s="18">
        <v>1724.2</v>
      </c>
      <c r="D47" s="19">
        <v>9813128</v>
      </c>
      <c r="E47" s="12">
        <f t="shared" si="1"/>
        <v>5691.4093492634265</v>
      </c>
    </row>
    <row r="48" spans="1:5" x14ac:dyDescent="0.35">
      <c r="A48" s="29" t="s">
        <v>47</v>
      </c>
      <c r="B48" s="17" t="s">
        <v>48</v>
      </c>
      <c r="C48" s="18">
        <v>1738.75</v>
      </c>
      <c r="D48" s="19">
        <v>8726387</v>
      </c>
      <c r="E48" s="12">
        <f t="shared" si="1"/>
        <v>5018.7703810208486</v>
      </c>
    </row>
    <row r="49" spans="1:5" x14ac:dyDescent="0.35">
      <c r="A49" s="29" t="s">
        <v>71</v>
      </c>
      <c r="B49" s="17" t="s">
        <v>72</v>
      </c>
      <c r="C49" s="18">
        <v>1440.35</v>
      </c>
      <c r="D49" s="19">
        <v>9011232</v>
      </c>
      <c r="E49" s="12">
        <f t="shared" si="1"/>
        <v>6256.2793765404249</v>
      </c>
    </row>
    <row r="50" spans="1:5" x14ac:dyDescent="0.35">
      <c r="A50" s="29" t="s">
        <v>77</v>
      </c>
      <c r="B50" s="17" t="s">
        <v>78</v>
      </c>
      <c r="C50" s="18">
        <v>3229.1</v>
      </c>
      <c r="D50" s="19">
        <v>18483155</v>
      </c>
      <c r="E50" s="12">
        <f t="shared" si="1"/>
        <v>5723.9339134743432</v>
      </c>
    </row>
    <row r="51" spans="1:5" x14ac:dyDescent="0.35">
      <c r="A51" s="29" t="s">
        <v>93</v>
      </c>
      <c r="B51" s="17" t="s">
        <v>94</v>
      </c>
      <c r="C51" s="18">
        <v>20818.75</v>
      </c>
      <c r="D51" s="19">
        <v>110772236</v>
      </c>
      <c r="E51" s="12">
        <f t="shared" si="1"/>
        <v>5320.7918823176224</v>
      </c>
    </row>
    <row r="52" spans="1:5" x14ac:dyDescent="0.35">
      <c r="A52" s="29" t="s">
        <v>73</v>
      </c>
      <c r="B52" s="17" t="s">
        <v>74</v>
      </c>
      <c r="C52" s="18">
        <v>2337.4499999999998</v>
      </c>
      <c r="D52" s="19">
        <v>13842471</v>
      </c>
      <c r="E52" s="12">
        <f t="shared" si="1"/>
        <v>5922.0394019123405</v>
      </c>
    </row>
    <row r="53" spans="1:5" x14ac:dyDescent="0.35">
      <c r="A53" s="29" t="s">
        <v>95</v>
      </c>
      <c r="B53" s="17" t="s">
        <v>96</v>
      </c>
      <c r="C53" s="18">
        <v>2691.3</v>
      </c>
      <c r="D53" s="19">
        <v>7479273</v>
      </c>
      <c r="E53" s="12">
        <f t="shared" si="1"/>
        <v>2779.0558466168764</v>
      </c>
    </row>
    <row r="54" spans="1:5" x14ac:dyDescent="0.35">
      <c r="A54" s="29" t="s">
        <v>51</v>
      </c>
      <c r="B54" s="17" t="s">
        <v>52</v>
      </c>
      <c r="C54" s="18">
        <v>1084.8499999999999</v>
      </c>
      <c r="D54" s="19">
        <v>6150070</v>
      </c>
      <c r="E54" s="12">
        <f t="shared" si="1"/>
        <v>5669.0510208784626</v>
      </c>
    </row>
    <row r="55" spans="1:5" x14ac:dyDescent="0.35">
      <c r="A55" s="29" t="s">
        <v>139</v>
      </c>
      <c r="B55" s="17" t="s">
        <v>140</v>
      </c>
      <c r="C55" s="18">
        <v>8520.35</v>
      </c>
      <c r="D55" s="19">
        <v>46048271</v>
      </c>
      <c r="E55" s="12">
        <f t="shared" si="1"/>
        <v>5404.5046271573347</v>
      </c>
    </row>
    <row r="56" spans="1:5" x14ac:dyDescent="0.35">
      <c r="A56" s="29" t="s">
        <v>141</v>
      </c>
      <c r="B56" s="17" t="s">
        <v>142</v>
      </c>
      <c r="C56" s="18">
        <v>2052.9499999999998</v>
      </c>
      <c r="D56" s="19">
        <v>12546738</v>
      </c>
      <c r="E56" s="12">
        <f t="shared" si="1"/>
        <v>6111.5653084585601</v>
      </c>
    </row>
    <row r="57" spans="1:5" x14ac:dyDescent="0.35">
      <c r="A57" s="29" t="s">
        <v>31</v>
      </c>
      <c r="B57" s="17" t="s">
        <v>32</v>
      </c>
      <c r="C57" s="18">
        <v>8049.6</v>
      </c>
      <c r="D57" s="19">
        <v>43562792</v>
      </c>
      <c r="E57" s="12">
        <f t="shared" si="1"/>
        <v>5411.7958656330748</v>
      </c>
    </row>
    <row r="58" spans="1:5" x14ac:dyDescent="0.35">
      <c r="A58" s="29" t="s">
        <v>117</v>
      </c>
      <c r="B58" s="17" t="s">
        <v>118</v>
      </c>
      <c r="C58" s="18">
        <v>612.29999999999995</v>
      </c>
      <c r="D58" s="19">
        <v>3728277</v>
      </c>
      <c r="E58" s="12">
        <f t="shared" si="1"/>
        <v>6088.971092601666</v>
      </c>
    </row>
    <row r="59" spans="1:5" x14ac:dyDescent="0.35">
      <c r="A59" s="29" t="s">
        <v>37</v>
      </c>
      <c r="B59" s="17" t="s">
        <v>38</v>
      </c>
      <c r="C59" s="18">
        <v>1534.15</v>
      </c>
      <c r="D59" s="19">
        <v>9784294</v>
      </c>
      <c r="E59" s="12">
        <f t="shared" si="1"/>
        <v>6377.6645047746306</v>
      </c>
    </row>
    <row r="60" spans="1:5" x14ac:dyDescent="0.35">
      <c r="A60" s="29" t="s">
        <v>99</v>
      </c>
      <c r="B60" s="17" t="s">
        <v>100</v>
      </c>
      <c r="C60" s="18">
        <v>3353.5</v>
      </c>
      <c r="D60" s="19">
        <v>18224242</v>
      </c>
      <c r="E60" s="12">
        <f t="shared" si="1"/>
        <v>5434.3945131951696</v>
      </c>
    </row>
    <row r="61" spans="1:5" x14ac:dyDescent="0.35">
      <c r="A61" s="29" t="s">
        <v>33</v>
      </c>
      <c r="B61" s="17" t="s">
        <v>34</v>
      </c>
      <c r="C61" s="18">
        <v>4824.95</v>
      </c>
      <c r="D61" s="19">
        <v>28270859</v>
      </c>
      <c r="E61" s="12">
        <f t="shared" si="1"/>
        <v>5859.3061067990348</v>
      </c>
    </row>
    <row r="62" spans="1:5" x14ac:dyDescent="0.35">
      <c r="A62" s="29" t="s">
        <v>123</v>
      </c>
      <c r="B62" s="17" t="s">
        <v>124</v>
      </c>
      <c r="C62" s="18">
        <v>1573.9</v>
      </c>
      <c r="D62" s="19">
        <v>9463688</v>
      </c>
      <c r="E62" s="12">
        <f t="shared" si="1"/>
        <v>6012.8902725713197</v>
      </c>
    </row>
    <row r="63" spans="1:5" x14ac:dyDescent="0.35">
      <c r="A63" s="29" t="s">
        <v>7</v>
      </c>
      <c r="B63" s="17" t="s">
        <v>8</v>
      </c>
      <c r="C63" s="18">
        <v>943.15</v>
      </c>
      <c r="D63" s="19">
        <v>5580250</v>
      </c>
      <c r="E63" s="12">
        <f t="shared" si="1"/>
        <v>5916.6092350103381</v>
      </c>
    </row>
    <row r="64" spans="1:5" x14ac:dyDescent="0.35">
      <c r="A64" s="29" t="s">
        <v>81</v>
      </c>
      <c r="B64" s="17" t="s">
        <v>82</v>
      </c>
      <c r="C64" s="18">
        <v>478.4</v>
      </c>
      <c r="D64" s="19">
        <v>3140419</v>
      </c>
      <c r="E64" s="12">
        <f t="shared" si="1"/>
        <v>6564.4209866220735</v>
      </c>
    </row>
    <row r="65" spans="1:5" x14ac:dyDescent="0.35">
      <c r="A65" s="29" t="s">
        <v>29</v>
      </c>
      <c r="B65" s="17" t="s">
        <v>30</v>
      </c>
      <c r="C65" s="18">
        <v>1013.4</v>
      </c>
      <c r="D65" s="19">
        <v>6109338</v>
      </c>
      <c r="E65" s="12">
        <f t="shared" si="1"/>
        <v>6028.5553582001185</v>
      </c>
    </row>
    <row r="66" spans="1:5" x14ac:dyDescent="0.35">
      <c r="A66" s="29" t="s">
        <v>57</v>
      </c>
      <c r="B66" s="17" t="s">
        <v>58</v>
      </c>
      <c r="C66" s="18">
        <v>4688.3</v>
      </c>
      <c r="D66" s="19">
        <v>23757924</v>
      </c>
      <c r="E66" s="12">
        <f t="shared" si="1"/>
        <v>5067.4922679862639</v>
      </c>
    </row>
    <row r="67" spans="1:5" x14ac:dyDescent="0.35">
      <c r="A67" s="29" t="s">
        <v>131</v>
      </c>
      <c r="B67" s="17" t="s">
        <v>132</v>
      </c>
      <c r="C67" s="18">
        <v>1227.95</v>
      </c>
      <c r="D67" s="19">
        <v>7612844</v>
      </c>
      <c r="E67" s="12">
        <f t="shared" si="1"/>
        <v>6199.6367930290317</v>
      </c>
    </row>
    <row r="68" spans="1:5" x14ac:dyDescent="0.35">
      <c r="A68" s="29" t="s">
        <v>159</v>
      </c>
      <c r="B68" s="17" t="s">
        <v>160</v>
      </c>
      <c r="C68" s="18">
        <v>4050.1</v>
      </c>
      <c r="D68" s="19">
        <v>21961713</v>
      </c>
      <c r="E68" s="12">
        <f t="shared" si="1"/>
        <v>5422.5112960173828</v>
      </c>
    </row>
    <row r="69" spans="1:5" x14ac:dyDescent="0.35">
      <c r="A69" s="29" t="s">
        <v>63</v>
      </c>
      <c r="B69" s="17" t="s">
        <v>64</v>
      </c>
      <c r="C69" s="18">
        <v>1947</v>
      </c>
      <c r="D69" s="19">
        <v>11803754</v>
      </c>
      <c r="E69" s="12">
        <f t="shared" si="1"/>
        <v>6062.5341551104266</v>
      </c>
    </row>
    <row r="70" spans="1:5" x14ac:dyDescent="0.35">
      <c r="A70" s="29" t="s">
        <v>53</v>
      </c>
      <c r="B70" s="17" t="s">
        <v>54</v>
      </c>
      <c r="C70" s="18">
        <v>7073.6</v>
      </c>
      <c r="D70" s="19">
        <v>42486633</v>
      </c>
      <c r="E70" s="12">
        <f t="shared" si="1"/>
        <v>6006.3663481112872</v>
      </c>
    </row>
    <row r="71" spans="1:5" x14ac:dyDescent="0.35">
      <c r="A71" s="29" t="s">
        <v>97</v>
      </c>
      <c r="B71" s="17" t="s">
        <v>98</v>
      </c>
      <c r="C71" s="18">
        <v>1096.4000000000001</v>
      </c>
      <c r="D71" s="19">
        <v>6577761</v>
      </c>
      <c r="E71" s="12">
        <f t="shared" si="1"/>
        <v>5999.4171835096677</v>
      </c>
    </row>
    <row r="72" spans="1:5" x14ac:dyDescent="0.35">
      <c r="A72" s="29" t="s">
        <v>49</v>
      </c>
      <c r="B72" s="17" t="s">
        <v>50</v>
      </c>
      <c r="C72" s="18">
        <v>2442.0500000000002</v>
      </c>
      <c r="D72" s="19">
        <v>14956940</v>
      </c>
      <c r="E72" s="12">
        <f t="shared" si="1"/>
        <v>6124.7476505395052</v>
      </c>
    </row>
    <row r="73" spans="1:5" x14ac:dyDescent="0.35">
      <c r="A73" s="29" t="s">
        <v>21</v>
      </c>
      <c r="B73" s="17" t="s">
        <v>22</v>
      </c>
      <c r="C73" s="18">
        <v>2674.2</v>
      </c>
      <c r="D73" s="19">
        <v>16409141</v>
      </c>
      <c r="E73" s="12">
        <f t="shared" si="1"/>
        <v>6136.0934111136048</v>
      </c>
    </row>
    <row r="74" spans="1:5" x14ac:dyDescent="0.35">
      <c r="A74" s="29" t="s">
        <v>181</v>
      </c>
      <c r="B74" s="17" t="s">
        <v>182</v>
      </c>
      <c r="C74" s="18">
        <v>979.1</v>
      </c>
      <c r="D74" s="19">
        <v>5688829</v>
      </c>
      <c r="E74" s="12">
        <f t="shared" si="1"/>
        <v>5810.2635073026249</v>
      </c>
    </row>
    <row r="75" spans="1:5" x14ac:dyDescent="0.35">
      <c r="A75" s="29" t="s">
        <v>153</v>
      </c>
      <c r="B75" s="17" t="s">
        <v>154</v>
      </c>
      <c r="C75" s="18">
        <v>2011</v>
      </c>
      <c r="D75" s="19">
        <v>11265028</v>
      </c>
      <c r="E75" s="12">
        <f t="shared" si="1"/>
        <v>5601.7046245648935</v>
      </c>
    </row>
    <row r="76" spans="1:5" x14ac:dyDescent="0.35">
      <c r="A76" s="29" t="s">
        <v>11</v>
      </c>
      <c r="B76" s="17" t="s">
        <v>12</v>
      </c>
      <c r="C76" s="18">
        <v>1803.55</v>
      </c>
      <c r="D76" s="19">
        <v>11137943</v>
      </c>
      <c r="E76" s="12">
        <f t="shared" si="1"/>
        <v>6175.5665215824347</v>
      </c>
    </row>
    <row r="77" spans="1:5" x14ac:dyDescent="0.35">
      <c r="A77" s="29" t="s">
        <v>157</v>
      </c>
      <c r="B77" s="17" t="s">
        <v>158</v>
      </c>
      <c r="C77" s="18">
        <v>1614.45</v>
      </c>
      <c r="D77" s="19">
        <v>9584462</v>
      </c>
      <c r="E77" s="12">
        <f t="shared" si="1"/>
        <v>5936.673170429558</v>
      </c>
    </row>
    <row r="78" spans="1:5" x14ac:dyDescent="0.35">
      <c r="A78" s="29" t="s">
        <v>67</v>
      </c>
      <c r="B78" s="17" t="s">
        <v>68</v>
      </c>
      <c r="C78" s="18">
        <v>1064.4000000000001</v>
      </c>
      <c r="D78" s="19">
        <v>6608456</v>
      </c>
      <c r="E78" s="12">
        <f t="shared" ref="E78:E84" si="2">D78/C78</f>
        <v>6208.6208192408867</v>
      </c>
    </row>
    <row r="79" spans="1:5" x14ac:dyDescent="0.35">
      <c r="A79" s="29" t="s">
        <v>161</v>
      </c>
      <c r="B79" s="17" t="s">
        <v>162</v>
      </c>
      <c r="C79" s="18">
        <v>1429.75</v>
      </c>
      <c r="D79" s="19">
        <v>8725792</v>
      </c>
      <c r="E79" s="12">
        <f t="shared" si="2"/>
        <v>6103.0194089875849</v>
      </c>
    </row>
    <row r="80" spans="1:5" x14ac:dyDescent="0.35">
      <c r="A80" s="29" t="s">
        <v>129</v>
      </c>
      <c r="B80" s="17" t="s">
        <v>296</v>
      </c>
      <c r="C80" s="18">
        <v>328.55</v>
      </c>
      <c r="D80" s="19">
        <v>2028574</v>
      </c>
      <c r="E80" s="12">
        <f t="shared" si="2"/>
        <v>6174.3235428397502</v>
      </c>
    </row>
    <row r="81" spans="1:5" x14ac:dyDescent="0.35">
      <c r="A81" s="29" t="s">
        <v>171</v>
      </c>
      <c r="B81" s="17" t="s">
        <v>172</v>
      </c>
      <c r="C81" s="18">
        <v>478</v>
      </c>
      <c r="D81" s="19">
        <v>2623594</v>
      </c>
      <c r="E81" s="12">
        <f t="shared" si="2"/>
        <v>5488.6903765690377</v>
      </c>
    </row>
    <row r="82" spans="1:5" x14ac:dyDescent="0.35">
      <c r="A82" s="29" t="s">
        <v>39</v>
      </c>
      <c r="B82" s="17" t="s">
        <v>297</v>
      </c>
      <c r="C82" s="18">
        <v>453.15</v>
      </c>
      <c r="D82" s="19">
        <v>2207578</v>
      </c>
      <c r="E82" s="12">
        <f t="shared" si="2"/>
        <v>4871.6274964139911</v>
      </c>
    </row>
    <row r="83" spans="1:5" x14ac:dyDescent="0.35">
      <c r="A83" s="29" t="s">
        <v>19</v>
      </c>
      <c r="B83" s="17" t="s">
        <v>20</v>
      </c>
      <c r="C83" s="18">
        <v>252.7</v>
      </c>
      <c r="D83" s="19">
        <v>981497</v>
      </c>
      <c r="E83" s="12">
        <f t="shared" si="2"/>
        <v>3884.0403640680652</v>
      </c>
    </row>
    <row r="84" spans="1:5" x14ac:dyDescent="0.35">
      <c r="A84" s="29" t="s">
        <v>9</v>
      </c>
      <c r="B84" s="17" t="s">
        <v>298</v>
      </c>
      <c r="C84" s="18">
        <v>412.3</v>
      </c>
      <c r="D84" s="19">
        <v>2896167</v>
      </c>
      <c r="E84" s="12">
        <f t="shared" si="2"/>
        <v>7024.416686878486</v>
      </c>
    </row>
    <row r="85" spans="1:5" x14ac:dyDescent="0.35">
      <c r="A85" s="11"/>
      <c r="B85" s="20" t="s">
        <v>299</v>
      </c>
      <c r="C85" s="12">
        <f>SUM(C2:C84)</f>
        <v>375955.45</v>
      </c>
      <c r="D85" s="21">
        <f>SUM(D2:D84)</f>
        <v>2098233879</v>
      </c>
      <c r="E85" s="11"/>
    </row>
    <row r="86" spans="1:5" x14ac:dyDescent="0.35">
      <c r="A86" s="11"/>
      <c r="B86" s="20" t="s">
        <v>300</v>
      </c>
      <c r="C86" s="11"/>
      <c r="D86" s="22">
        <f>D85/C85</f>
        <v>5581.070520456612</v>
      </c>
      <c r="E86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EEB2-5059-4215-A85C-85AC5A29C963}">
  <dimension ref="A1:F92"/>
  <sheetViews>
    <sheetView workbookViewId="0"/>
  </sheetViews>
  <sheetFormatPr defaultRowHeight="14.5" x14ac:dyDescent="0.35"/>
  <cols>
    <col min="1" max="1" width="13.7265625" customWidth="1"/>
    <col min="2" max="2" width="10" customWidth="1"/>
    <col min="3" max="3" width="16.81640625" customWidth="1"/>
    <col min="4" max="4" width="13.54296875" customWidth="1"/>
    <col min="5" max="5" width="15.7265625" customWidth="1"/>
    <col min="6" max="6" width="10.54296875" customWidth="1"/>
  </cols>
  <sheetData>
    <row r="1" spans="1:6" x14ac:dyDescent="0.35">
      <c r="A1" s="30" t="s">
        <v>301</v>
      </c>
      <c r="B1" s="31" t="s">
        <v>302</v>
      </c>
      <c r="C1" s="30" t="s">
        <v>303</v>
      </c>
      <c r="D1" s="32" t="s">
        <v>304</v>
      </c>
      <c r="E1" s="33" t="s">
        <v>305</v>
      </c>
      <c r="F1" s="33" t="s">
        <v>187</v>
      </c>
    </row>
    <row r="2" spans="1:6" x14ac:dyDescent="0.35">
      <c r="A2">
        <v>2022</v>
      </c>
      <c r="B2" s="34">
        <v>800</v>
      </c>
      <c r="C2" t="s">
        <v>130</v>
      </c>
      <c r="D2" s="35">
        <v>528.54999999999995</v>
      </c>
      <c r="E2" s="36">
        <v>3173766</v>
      </c>
      <c r="F2" s="36">
        <f t="shared" ref="F2:F65" si="0">E2/D2</f>
        <v>6004.6655945511311</v>
      </c>
    </row>
    <row r="3" spans="1:6" x14ac:dyDescent="0.35">
      <c r="A3">
        <v>2022</v>
      </c>
      <c r="B3" s="34">
        <v>102</v>
      </c>
      <c r="C3" t="s">
        <v>90</v>
      </c>
      <c r="D3" s="35">
        <v>2853.45</v>
      </c>
      <c r="E3" s="36">
        <v>15614790</v>
      </c>
      <c r="F3" s="36">
        <f t="shared" si="0"/>
        <v>5472.2493823266577</v>
      </c>
    </row>
    <row r="4" spans="1:6" x14ac:dyDescent="0.35">
      <c r="A4">
        <v>2022</v>
      </c>
      <c r="B4" s="34">
        <v>104</v>
      </c>
      <c r="C4" t="s">
        <v>150</v>
      </c>
      <c r="D4" s="35">
        <v>1724.2</v>
      </c>
      <c r="E4" s="36">
        <v>9916550</v>
      </c>
      <c r="F4" s="36">
        <f t="shared" si="0"/>
        <v>5751.391949889804</v>
      </c>
    </row>
    <row r="5" spans="1:6" x14ac:dyDescent="0.35">
      <c r="A5">
        <v>2022</v>
      </c>
      <c r="B5" s="34">
        <v>105</v>
      </c>
      <c r="C5" t="s">
        <v>48</v>
      </c>
      <c r="D5" s="35">
        <v>1738.75</v>
      </c>
      <c r="E5" s="36">
        <v>9795688</v>
      </c>
      <c r="F5" s="36">
        <f t="shared" si="0"/>
        <v>5633.7529834651332</v>
      </c>
    </row>
    <row r="6" spans="1:6" x14ac:dyDescent="0.35">
      <c r="A6">
        <v>2022</v>
      </c>
      <c r="B6" s="34">
        <v>109</v>
      </c>
      <c r="C6" t="s">
        <v>72</v>
      </c>
      <c r="D6" s="35">
        <v>1440.35</v>
      </c>
      <c r="E6" s="36">
        <v>9042663</v>
      </c>
      <c r="F6" s="36">
        <f t="shared" si="0"/>
        <v>6278.101155969036</v>
      </c>
    </row>
    <row r="7" spans="1:6" x14ac:dyDescent="0.35">
      <c r="A7">
        <v>2022</v>
      </c>
      <c r="B7" s="34">
        <v>3</v>
      </c>
      <c r="C7" t="s">
        <v>62</v>
      </c>
      <c r="D7" s="35">
        <v>646.70000000000005</v>
      </c>
      <c r="E7" s="36">
        <v>3148181</v>
      </c>
      <c r="F7" s="36">
        <f t="shared" si="0"/>
        <v>4868.0702025668779</v>
      </c>
    </row>
    <row r="8" spans="1:6" x14ac:dyDescent="0.35">
      <c r="A8">
        <v>2022</v>
      </c>
      <c r="B8" s="34">
        <v>113</v>
      </c>
      <c r="C8" t="s">
        <v>78</v>
      </c>
      <c r="D8" s="35">
        <v>3229.1</v>
      </c>
      <c r="E8" s="36">
        <v>17113648</v>
      </c>
      <c r="F8" s="36">
        <f t="shared" si="0"/>
        <v>5299.8197640209346</v>
      </c>
    </row>
    <row r="9" spans="1:6" x14ac:dyDescent="0.35">
      <c r="A9">
        <v>2022</v>
      </c>
      <c r="B9" s="34">
        <v>4</v>
      </c>
      <c r="C9" t="s">
        <v>110</v>
      </c>
      <c r="D9" s="35">
        <v>3052.15</v>
      </c>
      <c r="E9" s="36">
        <v>19042924</v>
      </c>
      <c r="F9" s="36">
        <f t="shared" si="0"/>
        <v>6239.183526366659</v>
      </c>
    </row>
    <row r="10" spans="1:6" x14ac:dyDescent="0.35">
      <c r="A10">
        <v>2022</v>
      </c>
      <c r="B10" s="34">
        <v>114</v>
      </c>
      <c r="C10" t="s">
        <v>94</v>
      </c>
      <c r="D10" s="35">
        <v>20818.75</v>
      </c>
      <c r="E10" s="36">
        <v>105370289</v>
      </c>
      <c r="F10" s="36">
        <f t="shared" si="0"/>
        <v>5061.3167937556291</v>
      </c>
    </row>
    <row r="11" spans="1:6" x14ac:dyDescent="0.35">
      <c r="A11">
        <v>2022</v>
      </c>
      <c r="B11" s="34">
        <v>5</v>
      </c>
      <c r="C11" t="s">
        <v>156</v>
      </c>
      <c r="D11" s="35">
        <v>7612.05</v>
      </c>
      <c r="E11" s="36">
        <v>46104088</v>
      </c>
      <c r="F11" s="36">
        <f t="shared" si="0"/>
        <v>6056.7242726992072</v>
      </c>
    </row>
    <row r="12" spans="1:6" x14ac:dyDescent="0.35">
      <c r="A12">
        <v>2022</v>
      </c>
      <c r="B12" s="34">
        <v>115</v>
      </c>
      <c r="C12" t="s">
        <v>74</v>
      </c>
      <c r="D12" s="35">
        <v>2337.4499999999998</v>
      </c>
      <c r="E12" s="36">
        <v>14270001</v>
      </c>
      <c r="F12" s="36">
        <f t="shared" si="0"/>
        <v>6104.9438490662906</v>
      </c>
    </row>
    <row r="13" spans="1:6" x14ac:dyDescent="0.35">
      <c r="A13">
        <v>2022</v>
      </c>
      <c r="B13" s="34">
        <v>6</v>
      </c>
      <c r="C13" t="s">
        <v>66</v>
      </c>
      <c r="D13" s="35">
        <v>1386.5</v>
      </c>
      <c r="E13" s="36">
        <v>8552322</v>
      </c>
      <c r="F13" s="36">
        <f t="shared" si="0"/>
        <v>6168.28128380815</v>
      </c>
    </row>
    <row r="14" spans="1:6" x14ac:dyDescent="0.35">
      <c r="A14">
        <v>2022</v>
      </c>
      <c r="B14" s="34">
        <v>7</v>
      </c>
      <c r="C14" t="s">
        <v>14</v>
      </c>
      <c r="D14" s="35">
        <v>2825.3</v>
      </c>
      <c r="E14" s="36">
        <v>16333086</v>
      </c>
      <c r="F14" s="36">
        <f t="shared" si="0"/>
        <v>5781.0094503238588</v>
      </c>
    </row>
    <row r="15" spans="1:6" x14ac:dyDescent="0.35">
      <c r="A15">
        <v>2022</v>
      </c>
      <c r="B15" s="34">
        <v>8</v>
      </c>
      <c r="C15" t="s">
        <v>108</v>
      </c>
      <c r="D15" s="35">
        <v>7817.05</v>
      </c>
      <c r="E15" s="36">
        <v>46950255</v>
      </c>
      <c r="F15" s="36">
        <f t="shared" si="0"/>
        <v>6006.1346671698402</v>
      </c>
    </row>
    <row r="16" spans="1:6" x14ac:dyDescent="0.35">
      <c r="A16">
        <v>2022</v>
      </c>
      <c r="B16" s="34">
        <v>10</v>
      </c>
      <c r="C16" t="s">
        <v>102</v>
      </c>
      <c r="D16" s="35">
        <v>3686.15</v>
      </c>
      <c r="E16" s="36">
        <v>21770064</v>
      </c>
      <c r="F16" s="36">
        <f t="shared" si="0"/>
        <v>5905.9083325420834</v>
      </c>
    </row>
    <row r="17" spans="1:6" x14ac:dyDescent="0.35">
      <c r="A17">
        <v>2022</v>
      </c>
      <c r="B17" s="34">
        <v>121</v>
      </c>
      <c r="C17" t="s">
        <v>96</v>
      </c>
      <c r="D17" s="35">
        <v>2691.3</v>
      </c>
      <c r="E17" s="36">
        <v>15818104</v>
      </c>
      <c r="F17" s="36">
        <f t="shared" si="0"/>
        <v>5877.4956340801837</v>
      </c>
    </row>
    <row r="18" spans="1:6" x14ac:dyDescent="0.35">
      <c r="A18">
        <v>2022</v>
      </c>
      <c r="B18" s="34">
        <v>11</v>
      </c>
      <c r="C18" t="s">
        <v>70</v>
      </c>
      <c r="D18" s="35">
        <v>7396.95</v>
      </c>
      <c r="E18" s="36">
        <v>42414794</v>
      </c>
      <c r="F18" s="36">
        <f t="shared" si="0"/>
        <v>5734.0922947971803</v>
      </c>
    </row>
    <row r="19" spans="1:6" x14ac:dyDescent="0.35">
      <c r="A19">
        <v>2022</v>
      </c>
      <c r="B19" s="34">
        <v>12</v>
      </c>
      <c r="C19" t="s">
        <v>134</v>
      </c>
      <c r="D19" s="35">
        <v>1070.75</v>
      </c>
      <c r="E19" s="36">
        <v>4797483</v>
      </c>
      <c r="F19" s="36">
        <f t="shared" si="0"/>
        <v>4480.4884426803646</v>
      </c>
    </row>
    <row r="20" spans="1:6" x14ac:dyDescent="0.35">
      <c r="A20">
        <v>2022</v>
      </c>
      <c r="B20" s="34">
        <v>14</v>
      </c>
      <c r="C20" t="s">
        <v>84</v>
      </c>
      <c r="D20" s="35">
        <v>1794.95</v>
      </c>
      <c r="E20" s="36">
        <v>10887222</v>
      </c>
      <c r="F20" s="36">
        <f t="shared" si="0"/>
        <v>6065.4736900749322</v>
      </c>
    </row>
    <row r="21" spans="1:6" x14ac:dyDescent="0.35">
      <c r="A21">
        <v>2022</v>
      </c>
      <c r="B21" s="34">
        <v>15</v>
      </c>
      <c r="C21" t="s">
        <v>144</v>
      </c>
      <c r="D21" s="35">
        <v>2436.1</v>
      </c>
      <c r="E21" s="36">
        <v>15557774</v>
      </c>
      <c r="F21" s="36">
        <f t="shared" si="0"/>
        <v>6386.3445671359959</v>
      </c>
    </row>
    <row r="22" spans="1:6" x14ac:dyDescent="0.35">
      <c r="A22">
        <v>2022</v>
      </c>
      <c r="B22" s="34">
        <v>16</v>
      </c>
      <c r="C22" t="s">
        <v>138</v>
      </c>
      <c r="D22" s="35">
        <v>2569.9499999999998</v>
      </c>
      <c r="E22" s="36">
        <v>14760302</v>
      </c>
      <c r="F22" s="36">
        <f t="shared" si="0"/>
        <v>5743.419910893208</v>
      </c>
    </row>
    <row r="23" spans="1:6" x14ac:dyDescent="0.35">
      <c r="A23">
        <v>2022</v>
      </c>
      <c r="B23" s="34">
        <v>17</v>
      </c>
      <c r="C23" t="s">
        <v>24</v>
      </c>
      <c r="D23" s="35">
        <v>2498.65</v>
      </c>
      <c r="E23" s="36">
        <v>12875988</v>
      </c>
      <c r="F23" s="36">
        <f t="shared" si="0"/>
        <v>5153.1779160746801</v>
      </c>
    </row>
    <row r="24" spans="1:6" x14ac:dyDescent="0.35">
      <c r="A24">
        <v>2022</v>
      </c>
      <c r="B24" s="34">
        <v>20</v>
      </c>
      <c r="C24" t="s">
        <v>120</v>
      </c>
      <c r="D24" s="35">
        <v>2755.1</v>
      </c>
      <c r="E24" s="36">
        <v>16030086</v>
      </c>
      <c r="F24" s="36">
        <f t="shared" si="0"/>
        <v>5818.3318209865347</v>
      </c>
    </row>
    <row r="25" spans="1:6" x14ac:dyDescent="0.35">
      <c r="A25">
        <v>2022</v>
      </c>
      <c r="B25" s="34">
        <v>22</v>
      </c>
      <c r="C25" t="s">
        <v>128</v>
      </c>
      <c r="D25" s="35">
        <v>9185.0499999999993</v>
      </c>
      <c r="E25" s="36">
        <v>56013578</v>
      </c>
      <c r="F25" s="36">
        <f t="shared" si="0"/>
        <v>6098.3421973750828</v>
      </c>
    </row>
    <row r="26" spans="1:6" x14ac:dyDescent="0.35">
      <c r="A26">
        <v>2022</v>
      </c>
      <c r="B26" s="34">
        <v>23</v>
      </c>
      <c r="C26" t="s">
        <v>126</v>
      </c>
      <c r="D26" s="35">
        <v>3381.4</v>
      </c>
      <c r="E26" s="36">
        <v>20804082</v>
      </c>
      <c r="F26" s="36">
        <f t="shared" si="0"/>
        <v>6152.5054711066423</v>
      </c>
    </row>
    <row r="27" spans="1:6" x14ac:dyDescent="0.35">
      <c r="A27">
        <v>2022</v>
      </c>
      <c r="B27" s="34">
        <v>126</v>
      </c>
      <c r="C27" t="s">
        <v>52</v>
      </c>
      <c r="D27" s="35">
        <v>1084.8499999999999</v>
      </c>
      <c r="E27" s="36">
        <v>6545338</v>
      </c>
      <c r="F27" s="36">
        <f t="shared" si="0"/>
        <v>6033.4036963635526</v>
      </c>
    </row>
    <row r="28" spans="1:6" x14ac:dyDescent="0.35">
      <c r="A28">
        <v>2022</v>
      </c>
      <c r="B28" s="34">
        <v>24</v>
      </c>
      <c r="C28" t="s">
        <v>56</v>
      </c>
      <c r="D28" s="35">
        <v>2738.3</v>
      </c>
      <c r="E28" s="36">
        <v>16469127</v>
      </c>
      <c r="F28" s="36">
        <f t="shared" si="0"/>
        <v>6014.3618303326875</v>
      </c>
    </row>
    <row r="29" spans="1:6" x14ac:dyDescent="0.35">
      <c r="A29">
        <v>2022</v>
      </c>
      <c r="B29" s="34">
        <v>127</v>
      </c>
      <c r="C29" t="s">
        <v>140</v>
      </c>
      <c r="D29" s="35">
        <v>8520.35</v>
      </c>
      <c r="E29" s="36">
        <v>46916521</v>
      </c>
      <c r="F29" s="36">
        <f t="shared" si="0"/>
        <v>5506.4077179928054</v>
      </c>
    </row>
    <row r="30" spans="1:6" x14ac:dyDescent="0.35">
      <c r="A30">
        <v>2022</v>
      </c>
      <c r="B30" s="34">
        <v>25</v>
      </c>
      <c r="C30" t="s">
        <v>136</v>
      </c>
      <c r="D30" s="35">
        <v>8332.75</v>
      </c>
      <c r="E30" s="36">
        <v>50838253</v>
      </c>
      <c r="F30" s="36">
        <f t="shared" si="0"/>
        <v>6101.0174312201852</v>
      </c>
    </row>
    <row r="31" spans="1:6" x14ac:dyDescent="0.35">
      <c r="A31">
        <v>2022</v>
      </c>
      <c r="B31" s="34">
        <v>128</v>
      </c>
      <c r="C31" t="s">
        <v>142</v>
      </c>
      <c r="D31" s="35">
        <v>2052.9499999999998</v>
      </c>
      <c r="E31" s="36">
        <v>12425159</v>
      </c>
      <c r="F31" s="36">
        <f t="shared" si="0"/>
        <v>6052.3437005285086</v>
      </c>
    </row>
    <row r="32" spans="1:6" x14ac:dyDescent="0.35">
      <c r="A32">
        <v>2022</v>
      </c>
      <c r="B32" s="34">
        <v>130</v>
      </c>
      <c r="C32" t="s">
        <v>32</v>
      </c>
      <c r="D32" s="35">
        <v>8049.6</v>
      </c>
      <c r="E32" s="36">
        <v>41637261</v>
      </c>
      <c r="F32" s="36">
        <f t="shared" si="0"/>
        <v>5172.5875819916519</v>
      </c>
    </row>
    <row r="33" spans="1:6" x14ac:dyDescent="0.35">
      <c r="A33">
        <v>2022</v>
      </c>
      <c r="B33" s="34">
        <v>131</v>
      </c>
      <c r="C33" t="s">
        <v>118</v>
      </c>
      <c r="D33" s="35">
        <v>612.29999999999995</v>
      </c>
      <c r="E33" s="36">
        <v>3878267</v>
      </c>
      <c r="F33" s="36">
        <f t="shared" si="0"/>
        <v>6333.9327127225224</v>
      </c>
    </row>
    <row r="34" spans="1:6" x14ac:dyDescent="0.35">
      <c r="A34">
        <v>2022</v>
      </c>
      <c r="B34" s="34">
        <v>137</v>
      </c>
      <c r="C34" t="s">
        <v>38</v>
      </c>
      <c r="D34" s="35">
        <v>1534.15</v>
      </c>
      <c r="E34" s="36">
        <v>9186923</v>
      </c>
      <c r="F34" s="36">
        <f t="shared" si="0"/>
        <v>5988.2821106149986</v>
      </c>
    </row>
    <row r="35" spans="1:6" x14ac:dyDescent="0.35">
      <c r="A35">
        <v>2022</v>
      </c>
      <c r="B35" s="34">
        <v>29</v>
      </c>
      <c r="C35" t="s">
        <v>104</v>
      </c>
      <c r="D35" s="35">
        <v>2126</v>
      </c>
      <c r="E35" s="36">
        <v>12715750</v>
      </c>
      <c r="F35" s="36">
        <f t="shared" si="0"/>
        <v>5981.0677328316087</v>
      </c>
    </row>
    <row r="36" spans="1:6" x14ac:dyDescent="0.35">
      <c r="A36">
        <v>2022</v>
      </c>
      <c r="B36" s="34">
        <v>141</v>
      </c>
      <c r="C36" t="s">
        <v>243</v>
      </c>
      <c r="D36" s="35">
        <v>4476.75</v>
      </c>
      <c r="E36" s="36">
        <v>24723734</v>
      </c>
      <c r="F36" s="36">
        <f t="shared" si="0"/>
        <v>5522.6970458479927</v>
      </c>
    </row>
    <row r="37" spans="1:6" x14ac:dyDescent="0.35">
      <c r="A37">
        <v>2022</v>
      </c>
      <c r="B37" s="34">
        <v>143</v>
      </c>
      <c r="C37" t="s">
        <v>100</v>
      </c>
      <c r="D37" s="35">
        <v>3353.5</v>
      </c>
      <c r="E37" s="36">
        <v>19776344</v>
      </c>
      <c r="F37" s="36">
        <f t="shared" si="0"/>
        <v>5897.224988817653</v>
      </c>
    </row>
    <row r="38" spans="1:6" x14ac:dyDescent="0.35">
      <c r="A38">
        <v>2022</v>
      </c>
      <c r="B38" s="34">
        <v>30</v>
      </c>
      <c r="C38" t="s">
        <v>148</v>
      </c>
      <c r="D38" s="35">
        <v>3490.65</v>
      </c>
      <c r="E38" s="36">
        <v>21604943</v>
      </c>
      <c r="F38" s="36">
        <f t="shared" si="0"/>
        <v>6189.3753312420322</v>
      </c>
    </row>
    <row r="39" spans="1:6" x14ac:dyDescent="0.35">
      <c r="A39">
        <v>2022</v>
      </c>
      <c r="B39" s="34">
        <v>144</v>
      </c>
      <c r="C39" t="s">
        <v>34</v>
      </c>
      <c r="D39" s="35">
        <v>4824.95</v>
      </c>
      <c r="E39" s="36">
        <v>27980332</v>
      </c>
      <c r="F39" s="36">
        <f t="shared" si="0"/>
        <v>5799.0926330842813</v>
      </c>
    </row>
    <row r="40" spans="1:6" x14ac:dyDescent="0.35">
      <c r="A40">
        <v>2022</v>
      </c>
      <c r="B40" s="34">
        <v>31</v>
      </c>
      <c r="C40" t="s">
        <v>86</v>
      </c>
      <c r="D40" s="35">
        <v>2538.85</v>
      </c>
      <c r="E40" s="36">
        <v>15811378</v>
      </c>
      <c r="F40" s="36">
        <f t="shared" si="0"/>
        <v>6227.7716288870952</v>
      </c>
    </row>
    <row r="41" spans="1:6" x14ac:dyDescent="0.35">
      <c r="A41">
        <v>2022</v>
      </c>
      <c r="B41" s="34">
        <v>32</v>
      </c>
      <c r="C41" t="s">
        <v>76</v>
      </c>
      <c r="D41" s="35">
        <v>913.05</v>
      </c>
      <c r="E41" s="36">
        <v>5070540</v>
      </c>
      <c r="F41" s="36">
        <f t="shared" si="0"/>
        <v>5553.4089042221131</v>
      </c>
    </row>
    <row r="42" spans="1:6" x14ac:dyDescent="0.35">
      <c r="A42">
        <v>2022</v>
      </c>
      <c r="B42" s="34">
        <v>33</v>
      </c>
      <c r="C42" t="s">
        <v>44</v>
      </c>
      <c r="D42" s="35">
        <v>2270.9499999999998</v>
      </c>
      <c r="E42" s="36">
        <v>13840220</v>
      </c>
      <c r="F42" s="36">
        <f t="shared" si="0"/>
        <v>6094.46266980779</v>
      </c>
    </row>
    <row r="43" spans="1:6" x14ac:dyDescent="0.35">
      <c r="A43">
        <v>2022</v>
      </c>
      <c r="B43" s="34">
        <v>155</v>
      </c>
      <c r="C43" t="s">
        <v>124</v>
      </c>
      <c r="D43" s="35">
        <v>1573.9</v>
      </c>
      <c r="E43" s="36">
        <v>9609492</v>
      </c>
      <c r="F43" s="36">
        <f t="shared" si="0"/>
        <v>6105.5289408475755</v>
      </c>
    </row>
    <row r="44" spans="1:6" x14ac:dyDescent="0.35">
      <c r="A44">
        <v>2022</v>
      </c>
      <c r="B44" s="34">
        <v>35</v>
      </c>
      <c r="C44" t="s">
        <v>180</v>
      </c>
      <c r="D44" s="35">
        <v>6177.6</v>
      </c>
      <c r="E44" s="36">
        <v>33779840</v>
      </c>
      <c r="F44" s="36">
        <f t="shared" si="0"/>
        <v>5468.1170681170679</v>
      </c>
    </row>
    <row r="45" spans="1:6" x14ac:dyDescent="0.35">
      <c r="A45">
        <v>2022</v>
      </c>
      <c r="B45" s="34">
        <v>805</v>
      </c>
      <c r="C45" t="s">
        <v>10</v>
      </c>
      <c r="D45" s="35">
        <v>512.29999999999995</v>
      </c>
      <c r="E45" s="36">
        <v>3313118</v>
      </c>
      <c r="F45" s="36">
        <f t="shared" si="0"/>
        <v>6467.1442514151868</v>
      </c>
    </row>
    <row r="46" spans="1:6" x14ac:dyDescent="0.35">
      <c r="A46">
        <v>2022</v>
      </c>
      <c r="B46" s="34">
        <v>37</v>
      </c>
      <c r="C46" t="s">
        <v>88</v>
      </c>
      <c r="D46" s="35">
        <v>34576.1</v>
      </c>
      <c r="E46" s="36">
        <v>190678303</v>
      </c>
      <c r="F46" s="36">
        <f t="shared" si="0"/>
        <v>5514.7429293645037</v>
      </c>
    </row>
    <row r="47" spans="1:6" x14ac:dyDescent="0.35">
      <c r="A47">
        <v>2022</v>
      </c>
      <c r="B47" s="34">
        <v>38</v>
      </c>
      <c r="C47" t="s">
        <v>116</v>
      </c>
      <c r="D47" s="35">
        <v>2190.5500000000002</v>
      </c>
      <c r="E47" s="36">
        <v>13397922</v>
      </c>
      <c r="F47" s="36">
        <f t="shared" si="0"/>
        <v>6116.2365615941198</v>
      </c>
    </row>
    <row r="48" spans="1:6" x14ac:dyDescent="0.35">
      <c r="A48">
        <v>2022</v>
      </c>
      <c r="B48" s="34">
        <v>165</v>
      </c>
      <c r="C48" t="s">
        <v>8</v>
      </c>
      <c r="D48" s="35">
        <v>943.15</v>
      </c>
      <c r="E48" s="36">
        <v>5866087</v>
      </c>
      <c r="F48" s="36">
        <f t="shared" si="0"/>
        <v>6219.6755553199382</v>
      </c>
    </row>
    <row r="49" spans="1:6" x14ac:dyDescent="0.35">
      <c r="A49">
        <v>2022</v>
      </c>
      <c r="B49" s="34">
        <v>802</v>
      </c>
      <c r="C49" t="s">
        <v>40</v>
      </c>
      <c r="D49" s="35">
        <v>501.15</v>
      </c>
      <c r="E49" s="36">
        <v>3231379</v>
      </c>
      <c r="F49" s="36">
        <f t="shared" si="0"/>
        <v>6447.9277661378828</v>
      </c>
    </row>
    <row r="50" spans="1:6" x14ac:dyDescent="0.35">
      <c r="A50">
        <v>2022</v>
      </c>
      <c r="B50" s="34">
        <v>41</v>
      </c>
      <c r="C50" t="s">
        <v>176</v>
      </c>
      <c r="D50" s="35">
        <v>9065.7000000000007</v>
      </c>
      <c r="E50" s="36">
        <v>51299615</v>
      </c>
      <c r="F50" s="36">
        <f t="shared" si="0"/>
        <v>5658.6490839096814</v>
      </c>
    </row>
    <row r="51" spans="1:6" x14ac:dyDescent="0.35">
      <c r="A51">
        <v>2022</v>
      </c>
      <c r="B51" s="34">
        <v>803</v>
      </c>
      <c r="C51" t="s">
        <v>20</v>
      </c>
      <c r="D51" s="35">
        <v>302.7</v>
      </c>
      <c r="E51" s="36">
        <v>2008308</v>
      </c>
      <c r="F51" s="36">
        <f t="shared" si="0"/>
        <v>6634.6481665014871</v>
      </c>
    </row>
    <row r="52" spans="1:6" x14ac:dyDescent="0.35">
      <c r="A52">
        <v>2022</v>
      </c>
      <c r="B52" s="34">
        <v>168</v>
      </c>
      <c r="C52" t="s">
        <v>82</v>
      </c>
      <c r="D52" s="35">
        <v>478.4</v>
      </c>
      <c r="E52" s="36">
        <v>3312362</v>
      </c>
      <c r="F52" s="36">
        <f t="shared" si="0"/>
        <v>6923.8336120401345</v>
      </c>
    </row>
    <row r="53" spans="1:6" x14ac:dyDescent="0.35">
      <c r="A53">
        <v>2022</v>
      </c>
      <c r="B53" s="34">
        <v>43</v>
      </c>
      <c r="C53" t="s">
        <v>28</v>
      </c>
      <c r="D53" s="35">
        <v>1306.05</v>
      </c>
      <c r="E53" s="36">
        <v>7774928</v>
      </c>
      <c r="F53" s="36">
        <f t="shared" si="0"/>
        <v>5953.0094559932622</v>
      </c>
    </row>
    <row r="54" spans="1:6" x14ac:dyDescent="0.35">
      <c r="A54">
        <v>2022</v>
      </c>
      <c r="B54" s="34">
        <v>44</v>
      </c>
      <c r="C54" t="s">
        <v>106</v>
      </c>
      <c r="D54" s="35">
        <v>1897.15</v>
      </c>
      <c r="E54" s="36">
        <v>12242932</v>
      </c>
      <c r="F54" s="36">
        <f t="shared" si="0"/>
        <v>6453.3284136731409</v>
      </c>
    </row>
    <row r="55" spans="1:6" x14ac:dyDescent="0.35">
      <c r="A55">
        <v>2022</v>
      </c>
      <c r="B55" s="34">
        <v>46</v>
      </c>
      <c r="C55" t="s">
        <v>18</v>
      </c>
      <c r="D55" s="35">
        <v>912.15</v>
      </c>
      <c r="E55" s="36">
        <v>5051127</v>
      </c>
      <c r="F55" s="36">
        <f t="shared" si="0"/>
        <v>5537.6056569643151</v>
      </c>
    </row>
    <row r="56" spans="1:6" x14ac:dyDescent="0.35">
      <c r="A56">
        <v>2022</v>
      </c>
      <c r="B56" s="34">
        <v>47</v>
      </c>
      <c r="C56" t="s">
        <v>164</v>
      </c>
      <c r="D56" s="35">
        <v>3190.85</v>
      </c>
      <c r="E56" s="36">
        <v>19091579</v>
      </c>
      <c r="F56" s="36">
        <f t="shared" si="0"/>
        <v>5983.2267264208594</v>
      </c>
    </row>
    <row r="57" spans="1:6" x14ac:dyDescent="0.35">
      <c r="A57">
        <v>2022</v>
      </c>
      <c r="B57" s="34">
        <v>48</v>
      </c>
      <c r="C57" t="s">
        <v>112</v>
      </c>
      <c r="D57" s="35">
        <v>5528.45</v>
      </c>
      <c r="E57" s="36">
        <v>32718895</v>
      </c>
      <c r="F57" s="36">
        <f t="shared" si="0"/>
        <v>5918.2763704112367</v>
      </c>
    </row>
    <row r="58" spans="1:6" x14ac:dyDescent="0.35">
      <c r="A58">
        <v>2022</v>
      </c>
      <c r="B58" s="34">
        <v>171</v>
      </c>
      <c r="C58" t="s">
        <v>30</v>
      </c>
      <c r="D58" s="35">
        <v>1013.4</v>
      </c>
      <c r="E58" s="36">
        <v>6315048</v>
      </c>
      <c r="F58" s="36">
        <f t="shared" si="0"/>
        <v>6231.5452930728243</v>
      </c>
    </row>
    <row r="59" spans="1:6" x14ac:dyDescent="0.35">
      <c r="A59">
        <v>2022</v>
      </c>
      <c r="B59" s="34">
        <v>49</v>
      </c>
      <c r="C59" t="s">
        <v>184</v>
      </c>
      <c r="D59" s="35">
        <v>51299.75</v>
      </c>
      <c r="E59" s="36">
        <v>271166530</v>
      </c>
      <c r="F59" s="36">
        <f t="shared" si="0"/>
        <v>5285.9230308139904</v>
      </c>
    </row>
    <row r="60" spans="1:6" x14ac:dyDescent="0.35">
      <c r="A60">
        <v>2022</v>
      </c>
      <c r="B60" s="34">
        <v>50</v>
      </c>
      <c r="C60" t="s">
        <v>146</v>
      </c>
      <c r="D60" s="35">
        <v>3056.6</v>
      </c>
      <c r="E60" s="36">
        <v>17024992</v>
      </c>
      <c r="F60" s="36">
        <f t="shared" si="0"/>
        <v>5569.911666557613</v>
      </c>
    </row>
    <row r="61" spans="1:6" x14ac:dyDescent="0.35">
      <c r="A61">
        <v>2022</v>
      </c>
      <c r="B61" s="34">
        <v>51</v>
      </c>
      <c r="C61" t="s">
        <v>152</v>
      </c>
      <c r="D61" s="35">
        <v>27503.9</v>
      </c>
      <c r="E61" s="36">
        <v>151548473</v>
      </c>
      <c r="F61" s="36">
        <f t="shared" si="0"/>
        <v>5510.0721352244591</v>
      </c>
    </row>
    <row r="62" spans="1:6" x14ac:dyDescent="0.35">
      <c r="A62">
        <v>2022</v>
      </c>
      <c r="B62" s="34">
        <v>52</v>
      </c>
      <c r="C62" t="s">
        <v>178</v>
      </c>
      <c r="D62" s="35">
        <v>7271.7</v>
      </c>
      <c r="E62" s="36">
        <v>39338372</v>
      </c>
      <c r="F62" s="36">
        <f t="shared" si="0"/>
        <v>5409.7902828774568</v>
      </c>
    </row>
    <row r="63" spans="1:6" x14ac:dyDescent="0.35">
      <c r="A63">
        <v>2022</v>
      </c>
      <c r="B63" s="34">
        <v>179</v>
      </c>
      <c r="C63" t="s">
        <v>58</v>
      </c>
      <c r="D63" s="35">
        <v>4688.3</v>
      </c>
      <c r="E63" s="36">
        <v>24549408</v>
      </c>
      <c r="F63" s="36">
        <f t="shared" si="0"/>
        <v>5236.313375850521</v>
      </c>
    </row>
    <row r="64" spans="1:6" x14ac:dyDescent="0.35">
      <c r="A64">
        <v>2022</v>
      </c>
      <c r="B64" s="34">
        <v>180</v>
      </c>
      <c r="C64" t="s">
        <v>132</v>
      </c>
      <c r="D64" s="35">
        <v>1227.95</v>
      </c>
      <c r="E64" s="36">
        <v>7752174</v>
      </c>
      <c r="F64" s="36">
        <f t="shared" si="0"/>
        <v>6313.102325013233</v>
      </c>
    </row>
    <row r="65" spans="1:6" x14ac:dyDescent="0.35">
      <c r="A65">
        <v>2022</v>
      </c>
      <c r="B65" s="34">
        <v>181</v>
      </c>
      <c r="C65" t="s">
        <v>160</v>
      </c>
      <c r="D65" s="35">
        <v>4050.1</v>
      </c>
      <c r="E65" s="36">
        <v>22296631</v>
      </c>
      <c r="F65" s="36">
        <f t="shared" si="0"/>
        <v>5505.2050566652679</v>
      </c>
    </row>
    <row r="66" spans="1:6" x14ac:dyDescent="0.35">
      <c r="A66">
        <v>2022</v>
      </c>
      <c r="B66" s="34">
        <v>182</v>
      </c>
      <c r="C66" t="s">
        <v>64</v>
      </c>
      <c r="D66" s="35">
        <v>1947</v>
      </c>
      <c r="E66" s="36">
        <v>11606699</v>
      </c>
      <c r="F66" s="36">
        <f t="shared" ref="F66:F92" si="1">E66/D66</f>
        <v>5961.324601951721</v>
      </c>
    </row>
    <row r="67" spans="1:6" x14ac:dyDescent="0.35">
      <c r="A67">
        <v>2022</v>
      </c>
      <c r="B67" s="34">
        <v>53</v>
      </c>
      <c r="C67" t="s">
        <v>42</v>
      </c>
      <c r="D67" s="35">
        <v>1123.1500000000001</v>
      </c>
      <c r="E67" s="36">
        <v>6600603</v>
      </c>
      <c r="F67" s="36">
        <f t="shared" si="1"/>
        <v>5876.8668477051142</v>
      </c>
    </row>
    <row r="68" spans="1:6" x14ac:dyDescent="0.35">
      <c r="A68">
        <v>2022</v>
      </c>
      <c r="B68" s="34">
        <v>184</v>
      </c>
      <c r="C68" t="s">
        <v>54</v>
      </c>
      <c r="D68" s="35">
        <v>7073.6</v>
      </c>
      <c r="E68" s="36">
        <v>42706690</v>
      </c>
      <c r="F68" s="36">
        <f t="shared" si="1"/>
        <v>6037.4759669757968</v>
      </c>
    </row>
    <row r="69" spans="1:6" x14ac:dyDescent="0.35">
      <c r="A69">
        <v>2022</v>
      </c>
      <c r="B69" s="34">
        <v>54</v>
      </c>
      <c r="C69" t="s">
        <v>26</v>
      </c>
      <c r="D69" s="35">
        <v>2311.4499999999998</v>
      </c>
      <c r="E69" s="36">
        <v>13985000</v>
      </c>
      <c r="F69" s="36">
        <f t="shared" si="1"/>
        <v>6050.3147375024337</v>
      </c>
    </row>
    <row r="70" spans="1:6" x14ac:dyDescent="0.35">
      <c r="A70">
        <v>2022</v>
      </c>
      <c r="B70" s="34">
        <v>185</v>
      </c>
      <c r="C70" t="s">
        <v>98</v>
      </c>
      <c r="D70" s="35">
        <v>1096.4000000000001</v>
      </c>
      <c r="E70" s="36">
        <v>7144969</v>
      </c>
      <c r="F70" s="36">
        <f t="shared" si="1"/>
        <v>6516.7539219263035</v>
      </c>
    </row>
    <row r="71" spans="1:6" x14ac:dyDescent="0.35">
      <c r="A71">
        <v>2022</v>
      </c>
      <c r="B71" s="34">
        <v>55</v>
      </c>
      <c r="C71" t="s">
        <v>168</v>
      </c>
      <c r="D71" s="35">
        <v>2102.3000000000002</v>
      </c>
      <c r="E71" s="36">
        <v>12438155</v>
      </c>
      <c r="F71" s="36">
        <f t="shared" si="1"/>
        <v>5916.4510298244777</v>
      </c>
    </row>
    <row r="72" spans="1:6" x14ac:dyDescent="0.35">
      <c r="A72">
        <v>2022</v>
      </c>
      <c r="B72" s="34">
        <v>56</v>
      </c>
      <c r="C72" t="s">
        <v>46</v>
      </c>
      <c r="D72" s="35">
        <v>1987</v>
      </c>
      <c r="E72" s="36">
        <v>11344346</v>
      </c>
      <c r="F72" s="36">
        <f t="shared" si="1"/>
        <v>5709.2833417211878</v>
      </c>
    </row>
    <row r="73" spans="1:6" x14ac:dyDescent="0.35">
      <c r="A73">
        <v>2022</v>
      </c>
      <c r="B73" s="34">
        <v>57</v>
      </c>
      <c r="C73" t="s">
        <v>174</v>
      </c>
      <c r="D73" s="35">
        <v>3396.95</v>
      </c>
      <c r="E73" s="36">
        <v>18939223</v>
      </c>
      <c r="F73" s="36">
        <f t="shared" si="1"/>
        <v>5575.3611327808776</v>
      </c>
    </row>
    <row r="74" spans="1:6" x14ac:dyDescent="0.35">
      <c r="A74">
        <v>2022</v>
      </c>
      <c r="B74" s="34">
        <v>189</v>
      </c>
      <c r="C74" t="s">
        <v>50</v>
      </c>
      <c r="D74" s="35">
        <v>2442.0500000000002</v>
      </c>
      <c r="E74" s="36">
        <v>15062339</v>
      </c>
      <c r="F74" s="36">
        <f t="shared" si="1"/>
        <v>6167.9077004975325</v>
      </c>
    </row>
    <row r="75" spans="1:6" x14ac:dyDescent="0.35">
      <c r="A75">
        <v>2022</v>
      </c>
      <c r="B75" s="34">
        <v>191</v>
      </c>
      <c r="C75" t="s">
        <v>22</v>
      </c>
      <c r="D75" s="35">
        <v>2674.2</v>
      </c>
      <c r="E75" s="36">
        <v>16169356</v>
      </c>
      <c r="F75" s="36">
        <f t="shared" si="1"/>
        <v>6046.4273427567123</v>
      </c>
    </row>
    <row r="76" spans="1:6" x14ac:dyDescent="0.35">
      <c r="A76">
        <v>2022</v>
      </c>
      <c r="B76" s="34">
        <v>192</v>
      </c>
      <c r="C76" t="s">
        <v>182</v>
      </c>
      <c r="D76" s="35">
        <v>972.1</v>
      </c>
      <c r="E76" s="36">
        <v>5745691</v>
      </c>
      <c r="F76" s="36">
        <f t="shared" si="1"/>
        <v>5910.5966464355515</v>
      </c>
    </row>
    <row r="77" spans="1:6" x14ac:dyDescent="0.35">
      <c r="A77">
        <v>2022</v>
      </c>
      <c r="B77" s="34">
        <v>60</v>
      </c>
      <c r="C77" t="s">
        <v>60</v>
      </c>
      <c r="D77" s="35">
        <v>1138.25</v>
      </c>
      <c r="E77" s="36">
        <v>6527235</v>
      </c>
      <c r="F77" s="36">
        <f t="shared" si="1"/>
        <v>5734.4476169558529</v>
      </c>
    </row>
    <row r="78" spans="1:6" x14ac:dyDescent="0.35">
      <c r="A78">
        <v>2022</v>
      </c>
      <c r="B78" s="34">
        <v>193</v>
      </c>
      <c r="C78" t="s">
        <v>154</v>
      </c>
      <c r="D78" s="35">
        <v>2011</v>
      </c>
      <c r="E78" s="36">
        <v>11601797</v>
      </c>
      <c r="F78" s="36">
        <f t="shared" si="1"/>
        <v>5769.1680755842863</v>
      </c>
    </row>
    <row r="79" spans="1:6" x14ac:dyDescent="0.35">
      <c r="A79">
        <v>2022</v>
      </c>
      <c r="B79" s="34">
        <v>194</v>
      </c>
      <c r="C79" t="s">
        <v>12</v>
      </c>
      <c r="D79" s="35">
        <v>1803.55</v>
      </c>
      <c r="E79" s="36">
        <v>11051568</v>
      </c>
      <c r="F79" s="36">
        <f t="shared" si="1"/>
        <v>6127.6748634637243</v>
      </c>
    </row>
    <row r="80" spans="1:6" x14ac:dyDescent="0.35">
      <c r="A80">
        <v>2022</v>
      </c>
      <c r="B80" s="34">
        <v>61</v>
      </c>
      <c r="C80" t="s">
        <v>36</v>
      </c>
      <c r="D80" s="35">
        <v>6827.3</v>
      </c>
      <c r="E80" s="36">
        <v>35575127</v>
      </c>
      <c r="F80" s="36">
        <f t="shared" si="1"/>
        <v>5210.7168280286496</v>
      </c>
    </row>
    <row r="81" spans="1:6" x14ac:dyDescent="0.35">
      <c r="A81">
        <v>2022</v>
      </c>
      <c r="B81" s="34">
        <v>62</v>
      </c>
      <c r="C81" t="s">
        <v>92</v>
      </c>
      <c r="D81" s="35">
        <v>2684.55</v>
      </c>
      <c r="E81" s="36">
        <v>12516078</v>
      </c>
      <c r="F81" s="36">
        <f t="shared" si="1"/>
        <v>4662.2629490976142</v>
      </c>
    </row>
    <row r="82" spans="1:6" x14ac:dyDescent="0.35">
      <c r="A82">
        <v>2022</v>
      </c>
      <c r="B82" s="34">
        <v>195</v>
      </c>
      <c r="C82" t="s">
        <v>158</v>
      </c>
      <c r="D82" s="35">
        <v>1614.45</v>
      </c>
      <c r="E82" s="36">
        <v>9978672</v>
      </c>
      <c r="F82" s="36">
        <f t="shared" si="1"/>
        <v>6180.8492056118184</v>
      </c>
    </row>
    <row r="83" spans="1:6" x14ac:dyDescent="0.35">
      <c r="A83">
        <v>2022</v>
      </c>
      <c r="B83" s="34">
        <v>198</v>
      </c>
      <c r="C83" t="s">
        <v>68</v>
      </c>
      <c r="D83" s="35">
        <v>1064.4000000000001</v>
      </c>
      <c r="E83" s="36">
        <v>6708634</v>
      </c>
      <c r="F83" s="36">
        <f t="shared" si="1"/>
        <v>6302.7376925967674</v>
      </c>
    </row>
    <row r="84" spans="1:6" x14ac:dyDescent="0.35">
      <c r="A84">
        <v>2022</v>
      </c>
      <c r="B84" s="34">
        <v>199</v>
      </c>
      <c r="C84" t="s">
        <v>80</v>
      </c>
      <c r="D84" s="35">
        <v>1645.6</v>
      </c>
      <c r="E84" s="36">
        <v>8860803</v>
      </c>
      <c r="F84" s="36">
        <f t="shared" si="1"/>
        <v>5384.5424161400097</v>
      </c>
    </row>
    <row r="85" spans="1:6" x14ac:dyDescent="0.35">
      <c r="A85">
        <v>2022</v>
      </c>
      <c r="B85" s="34">
        <v>200</v>
      </c>
      <c r="C85" t="s">
        <v>289</v>
      </c>
      <c r="D85" s="35">
        <v>10275.6</v>
      </c>
      <c r="E85" s="36">
        <v>51434508</v>
      </c>
      <c r="F85" s="36">
        <f t="shared" si="1"/>
        <v>5005.4992409202378</v>
      </c>
    </row>
    <row r="86" spans="1:6" x14ac:dyDescent="0.35">
      <c r="A86">
        <v>2022</v>
      </c>
      <c r="B86" s="34">
        <v>63</v>
      </c>
      <c r="C86" t="s">
        <v>170</v>
      </c>
      <c r="D86" s="35">
        <v>18165.45</v>
      </c>
      <c r="E86" s="36">
        <v>98651508</v>
      </c>
      <c r="F86" s="36">
        <f t="shared" si="1"/>
        <v>5430.7219474331769</v>
      </c>
    </row>
    <row r="87" spans="1:6" x14ac:dyDescent="0.35">
      <c r="A87">
        <v>2022</v>
      </c>
      <c r="B87" s="34">
        <v>201</v>
      </c>
      <c r="C87" t="s">
        <v>162</v>
      </c>
      <c r="D87" s="35">
        <v>1429.75</v>
      </c>
      <c r="E87" s="36">
        <v>8993773</v>
      </c>
      <c r="F87" s="36">
        <f t="shared" si="1"/>
        <v>6290.4514775310372</v>
      </c>
    </row>
    <row r="88" spans="1:6" x14ac:dyDescent="0.35">
      <c r="A88">
        <v>2022</v>
      </c>
      <c r="B88" s="34">
        <v>801</v>
      </c>
      <c r="C88" t="s">
        <v>172</v>
      </c>
      <c r="D88" s="35">
        <v>538</v>
      </c>
      <c r="E88" s="36">
        <v>3597148</v>
      </c>
      <c r="F88" s="36">
        <f t="shared" si="1"/>
        <v>6686.1486988847582</v>
      </c>
    </row>
    <row r="89" spans="1:6" x14ac:dyDescent="0.35">
      <c r="A89">
        <v>2022</v>
      </c>
      <c r="B89" s="34">
        <v>64</v>
      </c>
      <c r="C89" t="s">
        <v>114</v>
      </c>
      <c r="D89" s="35">
        <v>6938.7</v>
      </c>
      <c r="E89" s="36">
        <v>40236997</v>
      </c>
      <c r="F89" s="36">
        <f t="shared" si="1"/>
        <v>5798.9244382953584</v>
      </c>
    </row>
    <row r="90" spans="1:6" x14ac:dyDescent="0.35">
      <c r="A90">
        <v>2022</v>
      </c>
      <c r="B90" s="34">
        <v>65</v>
      </c>
      <c r="C90" t="s">
        <v>122</v>
      </c>
      <c r="D90" s="35">
        <v>2520.75</v>
      </c>
      <c r="E90" s="36">
        <v>13642468</v>
      </c>
      <c r="F90" s="36">
        <f t="shared" si="1"/>
        <v>5412.0670435386292</v>
      </c>
    </row>
    <row r="91" spans="1:6" x14ac:dyDescent="0.35">
      <c r="A91">
        <v>2022</v>
      </c>
      <c r="B91" s="34">
        <v>66</v>
      </c>
      <c r="C91" t="s">
        <v>16</v>
      </c>
      <c r="D91" s="35">
        <v>1324.1</v>
      </c>
      <c r="E91" s="36">
        <v>7385171</v>
      </c>
      <c r="F91" s="36">
        <f t="shared" si="1"/>
        <v>5577.5024544973949</v>
      </c>
    </row>
    <row r="92" spans="1:6" x14ac:dyDescent="0.35">
      <c r="A92">
        <v>2022</v>
      </c>
      <c r="B92" s="34">
        <v>67</v>
      </c>
      <c r="C92" t="s">
        <v>166</v>
      </c>
      <c r="D92" s="35">
        <v>2186.9499999999998</v>
      </c>
      <c r="E92" s="36">
        <v>13136865</v>
      </c>
      <c r="F92" s="36">
        <f t="shared" si="1"/>
        <v>6006.9343149134647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80F0-E10B-43DA-AFD5-525CEC90B280}">
  <dimension ref="A1:B46"/>
  <sheetViews>
    <sheetView workbookViewId="0">
      <selection activeCell="B3" sqref="B3"/>
    </sheetView>
  </sheetViews>
  <sheetFormatPr defaultRowHeight="14.5" x14ac:dyDescent="0.35"/>
  <cols>
    <col min="1" max="1" width="9.1796875" style="23"/>
    <col min="2" max="2" width="17.453125" bestFit="1" customWidth="1"/>
  </cols>
  <sheetData>
    <row r="1" spans="1:2" x14ac:dyDescent="0.35">
      <c r="A1" s="37" t="s">
        <v>310</v>
      </c>
      <c r="B1" s="37"/>
    </row>
    <row r="2" spans="1:2" ht="29" x14ac:dyDescent="0.35">
      <c r="A2" s="14" t="s">
        <v>5</v>
      </c>
      <c r="B2" s="14" t="s">
        <v>6</v>
      </c>
    </row>
    <row r="3" spans="1:2" x14ac:dyDescent="0.35">
      <c r="A3" s="28" t="s">
        <v>7</v>
      </c>
      <c r="B3" s="25" t="s">
        <v>8</v>
      </c>
    </row>
    <row r="4" spans="1:2" x14ac:dyDescent="0.35">
      <c r="A4" s="28" t="s">
        <v>9</v>
      </c>
      <c r="B4" s="25" t="s">
        <v>10</v>
      </c>
    </row>
    <row r="5" spans="1:2" x14ac:dyDescent="0.35">
      <c r="A5" s="28" t="s">
        <v>11</v>
      </c>
      <c r="B5" s="25" t="s">
        <v>12</v>
      </c>
    </row>
    <row r="6" spans="1:2" x14ac:dyDescent="0.35">
      <c r="A6" s="28" t="s">
        <v>13</v>
      </c>
      <c r="B6" s="25" t="s">
        <v>14</v>
      </c>
    </row>
    <row r="7" spans="1:2" x14ac:dyDescent="0.35">
      <c r="A7" s="28" t="s">
        <v>15</v>
      </c>
      <c r="B7" s="25" t="s">
        <v>16</v>
      </c>
    </row>
    <row r="8" spans="1:2" x14ac:dyDescent="0.35">
      <c r="A8" s="28" t="s">
        <v>17</v>
      </c>
      <c r="B8" s="25" t="s">
        <v>18</v>
      </c>
    </row>
    <row r="9" spans="1:2" x14ac:dyDescent="0.35">
      <c r="A9" s="28" t="s">
        <v>19</v>
      </c>
      <c r="B9" s="25" t="s">
        <v>20</v>
      </c>
    </row>
    <row r="10" spans="1:2" x14ac:dyDescent="0.35">
      <c r="A10" s="28" t="s">
        <v>21</v>
      </c>
      <c r="B10" s="25" t="s">
        <v>22</v>
      </c>
    </row>
    <row r="11" spans="1:2" x14ac:dyDescent="0.35">
      <c r="A11" s="28" t="s">
        <v>23</v>
      </c>
      <c r="B11" s="25" t="s">
        <v>24</v>
      </c>
    </row>
    <row r="12" spans="1:2" x14ac:dyDescent="0.35">
      <c r="A12" s="28" t="s">
        <v>25</v>
      </c>
      <c r="B12" s="25" t="s">
        <v>26</v>
      </c>
    </row>
    <row r="13" spans="1:2" x14ac:dyDescent="0.35">
      <c r="A13" s="28" t="s">
        <v>27</v>
      </c>
      <c r="B13" s="25" t="s">
        <v>28</v>
      </c>
    </row>
    <row r="14" spans="1:2" x14ac:dyDescent="0.35">
      <c r="A14" s="28" t="s">
        <v>29</v>
      </c>
      <c r="B14" s="25" t="s">
        <v>30</v>
      </c>
    </row>
    <row r="15" spans="1:2" x14ac:dyDescent="0.35">
      <c r="A15" s="28" t="s">
        <v>31</v>
      </c>
      <c r="B15" s="25" t="s">
        <v>32</v>
      </c>
    </row>
    <row r="16" spans="1:2" x14ac:dyDescent="0.35">
      <c r="A16" s="28" t="s">
        <v>33</v>
      </c>
      <c r="B16" s="25" t="s">
        <v>34</v>
      </c>
    </row>
    <row r="17" spans="1:2" x14ac:dyDescent="0.35">
      <c r="A17" s="28" t="s">
        <v>35</v>
      </c>
      <c r="B17" s="25" t="s">
        <v>36</v>
      </c>
    </row>
    <row r="18" spans="1:2" x14ac:dyDescent="0.35">
      <c r="A18" s="28" t="s">
        <v>37</v>
      </c>
      <c r="B18" s="25" t="s">
        <v>38</v>
      </c>
    </row>
    <row r="19" spans="1:2" x14ac:dyDescent="0.35">
      <c r="A19" s="28" t="s">
        <v>39</v>
      </c>
      <c r="B19" s="25" t="s">
        <v>40</v>
      </c>
    </row>
    <row r="20" spans="1:2" x14ac:dyDescent="0.35">
      <c r="A20" s="28" t="s">
        <v>41</v>
      </c>
      <c r="B20" s="25" t="s">
        <v>42</v>
      </c>
    </row>
    <row r="21" spans="1:2" x14ac:dyDescent="0.35">
      <c r="A21" s="28" t="s">
        <v>43</v>
      </c>
      <c r="B21" s="25" t="s">
        <v>44</v>
      </c>
    </row>
    <row r="22" spans="1:2" x14ac:dyDescent="0.35">
      <c r="A22" s="28" t="s">
        <v>45</v>
      </c>
      <c r="B22" s="25" t="s">
        <v>46</v>
      </c>
    </row>
    <row r="23" spans="1:2" x14ac:dyDescent="0.35">
      <c r="A23" s="28" t="s">
        <v>47</v>
      </c>
      <c r="B23" s="25" t="s">
        <v>48</v>
      </c>
    </row>
    <row r="24" spans="1:2" x14ac:dyDescent="0.35">
      <c r="A24" s="28" t="s">
        <v>49</v>
      </c>
      <c r="B24" s="25" t="s">
        <v>50</v>
      </c>
    </row>
    <row r="25" spans="1:2" x14ac:dyDescent="0.35">
      <c r="A25" s="28" t="s">
        <v>51</v>
      </c>
      <c r="B25" s="25" t="s">
        <v>52</v>
      </c>
    </row>
    <row r="26" spans="1:2" x14ac:dyDescent="0.35">
      <c r="A26" s="28" t="s">
        <v>53</v>
      </c>
      <c r="B26" s="25" t="s">
        <v>54</v>
      </c>
    </row>
    <row r="27" spans="1:2" x14ac:dyDescent="0.35">
      <c r="A27" s="28" t="s">
        <v>55</v>
      </c>
      <c r="B27" s="25" t="s">
        <v>56</v>
      </c>
    </row>
    <row r="28" spans="1:2" x14ac:dyDescent="0.35">
      <c r="A28" s="28" t="s">
        <v>57</v>
      </c>
      <c r="B28" s="25" t="s">
        <v>58</v>
      </c>
    </row>
    <row r="29" spans="1:2" x14ac:dyDescent="0.35">
      <c r="A29" s="28" t="s">
        <v>59</v>
      </c>
      <c r="B29" s="25" t="s">
        <v>60</v>
      </c>
    </row>
    <row r="30" spans="1:2" x14ac:dyDescent="0.35">
      <c r="A30" s="28" t="s">
        <v>61</v>
      </c>
      <c r="B30" s="25" t="s">
        <v>62</v>
      </c>
    </row>
    <row r="31" spans="1:2" x14ac:dyDescent="0.35">
      <c r="A31" s="28" t="s">
        <v>63</v>
      </c>
      <c r="B31" s="25" t="s">
        <v>64</v>
      </c>
    </row>
    <row r="32" spans="1:2" x14ac:dyDescent="0.35">
      <c r="A32" s="28" t="s">
        <v>65</v>
      </c>
      <c r="B32" s="25" t="s">
        <v>66</v>
      </c>
    </row>
    <row r="33" spans="1:2" x14ac:dyDescent="0.35">
      <c r="A33" s="28" t="s">
        <v>67</v>
      </c>
      <c r="B33" s="25" t="s">
        <v>68</v>
      </c>
    </row>
    <row r="34" spans="1:2" x14ac:dyDescent="0.35">
      <c r="A34" s="28" t="s">
        <v>69</v>
      </c>
      <c r="B34" s="25" t="s">
        <v>70</v>
      </c>
    </row>
    <row r="35" spans="1:2" x14ac:dyDescent="0.35">
      <c r="A35" s="28" t="s">
        <v>71</v>
      </c>
      <c r="B35" s="25" t="s">
        <v>72</v>
      </c>
    </row>
    <row r="36" spans="1:2" x14ac:dyDescent="0.35">
      <c r="A36" s="28" t="s">
        <v>73</v>
      </c>
      <c r="B36" s="25" t="s">
        <v>74</v>
      </c>
    </row>
    <row r="37" spans="1:2" x14ac:dyDescent="0.35">
      <c r="A37" s="28" t="s">
        <v>75</v>
      </c>
      <c r="B37" s="25" t="s">
        <v>76</v>
      </c>
    </row>
    <row r="38" spans="1:2" x14ac:dyDescent="0.35">
      <c r="A38" s="28" t="s">
        <v>77</v>
      </c>
      <c r="B38" s="25" t="s">
        <v>78</v>
      </c>
    </row>
    <row r="39" spans="1:2" x14ac:dyDescent="0.35">
      <c r="A39" s="28" t="s">
        <v>79</v>
      </c>
      <c r="B39" s="25" t="s">
        <v>80</v>
      </c>
    </row>
    <row r="40" spans="1:2" x14ac:dyDescent="0.35">
      <c r="A40" s="28" t="s">
        <v>81</v>
      </c>
      <c r="B40" s="25" t="s">
        <v>82</v>
      </c>
    </row>
    <row r="41" spans="1:2" x14ac:dyDescent="0.35">
      <c r="A41" s="28" t="s">
        <v>83</v>
      </c>
      <c r="B41" s="25" t="s">
        <v>84</v>
      </c>
    </row>
    <row r="42" spans="1:2" x14ac:dyDescent="0.35">
      <c r="A42" s="28" t="s">
        <v>85</v>
      </c>
      <c r="B42" s="25" t="s">
        <v>86</v>
      </c>
    </row>
    <row r="43" spans="1:2" x14ac:dyDescent="0.35">
      <c r="A43" s="28" t="s">
        <v>87</v>
      </c>
      <c r="B43" s="25" t="s">
        <v>88</v>
      </c>
    </row>
    <row r="44" spans="1:2" x14ac:dyDescent="0.35">
      <c r="A44" s="28" t="s">
        <v>89</v>
      </c>
      <c r="B44" s="25" t="s">
        <v>90</v>
      </c>
    </row>
    <row r="45" spans="1:2" x14ac:dyDescent="0.35">
      <c r="A45" s="28" t="s">
        <v>91</v>
      </c>
      <c r="B45" s="25" t="s">
        <v>92</v>
      </c>
    </row>
    <row r="46" spans="1:2" x14ac:dyDescent="0.35">
      <c r="A46" s="28" t="s">
        <v>93</v>
      </c>
      <c r="B46" s="25" t="s">
        <v>94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86E94-CBCB-4ED1-B968-2DB4608D364F}">
  <dimension ref="A1:E141"/>
  <sheetViews>
    <sheetView topLeftCell="A25" workbookViewId="0">
      <selection activeCell="B13" sqref="B13"/>
    </sheetView>
  </sheetViews>
  <sheetFormatPr defaultColWidth="9.1796875" defaultRowHeight="14.5" x14ac:dyDescent="0.35"/>
  <cols>
    <col min="1" max="1" width="8.26953125" style="5" bestFit="1" customWidth="1"/>
    <col min="2" max="2" width="19.453125" style="1" bestFit="1" customWidth="1"/>
    <col min="3" max="3" width="17.54296875" style="1" bestFit="1" customWidth="1"/>
    <col min="4" max="4" width="12.1796875" style="1" bestFit="1" customWidth="1"/>
    <col min="5" max="5" width="9.81640625" style="1" bestFit="1" customWidth="1"/>
    <col min="6" max="16384" width="9.1796875" style="1"/>
  </cols>
  <sheetData>
    <row r="1" spans="1:5" ht="29" x14ac:dyDescent="0.35">
      <c r="A1" s="14" t="s">
        <v>5</v>
      </c>
      <c r="B1" s="7" t="s">
        <v>6</v>
      </c>
      <c r="C1" s="6" t="s">
        <v>311</v>
      </c>
      <c r="D1" s="6" t="s">
        <v>312</v>
      </c>
      <c r="E1" s="8" t="s">
        <v>187</v>
      </c>
    </row>
    <row r="2" spans="1:5" x14ac:dyDescent="0.35">
      <c r="A2" s="28" t="s">
        <v>188</v>
      </c>
      <c r="B2" s="9" t="s">
        <v>189</v>
      </c>
      <c r="C2" s="10">
        <v>62409461.049999997</v>
      </c>
      <c r="D2" s="10">
        <v>9044.7999999999993</v>
      </c>
      <c r="E2" s="12">
        <f>C2/D2</f>
        <v>6900.0377067486297</v>
      </c>
    </row>
    <row r="3" spans="1:5" x14ac:dyDescent="0.35">
      <c r="A3" s="28" t="s">
        <v>190</v>
      </c>
      <c r="B3" s="9" t="s">
        <v>191</v>
      </c>
      <c r="C3" s="10">
        <v>212957793.43000001</v>
      </c>
      <c r="D3" s="10">
        <v>31593.95</v>
      </c>
      <c r="E3" s="12">
        <f t="shared" ref="E3:E66" si="0">C3/D3</f>
        <v>6740.4611778520884</v>
      </c>
    </row>
    <row r="4" spans="1:5" x14ac:dyDescent="0.35">
      <c r="A4" s="28" t="s">
        <v>61</v>
      </c>
      <c r="B4" s="9" t="s">
        <v>62</v>
      </c>
      <c r="C4" s="10">
        <v>6427380.1299999999</v>
      </c>
      <c r="D4" s="10">
        <v>722.4</v>
      </c>
      <c r="E4" s="12">
        <f t="shared" si="0"/>
        <v>8897.2593161683271</v>
      </c>
    </row>
    <row r="5" spans="1:5" x14ac:dyDescent="0.35">
      <c r="A5" s="28" t="s">
        <v>109</v>
      </c>
      <c r="B5" s="9" t="s">
        <v>110</v>
      </c>
      <c r="C5" s="10">
        <v>24999383.219999999</v>
      </c>
      <c r="D5" s="10">
        <v>3196.65</v>
      </c>
      <c r="E5" s="12">
        <f t="shared" si="0"/>
        <v>7820.4943362582699</v>
      </c>
    </row>
    <row r="6" spans="1:5" x14ac:dyDescent="0.35">
      <c r="A6" s="28" t="s">
        <v>155</v>
      </c>
      <c r="B6" s="9" t="s">
        <v>156</v>
      </c>
      <c r="C6" s="10">
        <v>53797042.100000001</v>
      </c>
      <c r="D6" s="10">
        <v>7565.7</v>
      </c>
      <c r="E6" s="12">
        <f t="shared" si="0"/>
        <v>7110.6496556828852</v>
      </c>
    </row>
    <row r="7" spans="1:5" x14ac:dyDescent="0.35">
      <c r="A7" s="28" t="s">
        <v>65</v>
      </c>
      <c r="B7" s="9" t="s">
        <v>66</v>
      </c>
      <c r="C7" s="10">
        <v>10783645.119999999</v>
      </c>
      <c r="D7" s="10">
        <v>1397.9</v>
      </c>
      <c r="E7" s="12">
        <f t="shared" si="0"/>
        <v>7714.1749195221391</v>
      </c>
    </row>
    <row r="8" spans="1:5" x14ac:dyDescent="0.35">
      <c r="A8" s="28" t="s">
        <v>13</v>
      </c>
      <c r="B8" s="9" t="s">
        <v>14</v>
      </c>
      <c r="C8" s="10">
        <v>22137295.579999998</v>
      </c>
      <c r="D8" s="10">
        <v>2850.9</v>
      </c>
      <c r="E8" s="12">
        <f t="shared" si="0"/>
        <v>7765.0200217475176</v>
      </c>
    </row>
    <row r="9" spans="1:5" x14ac:dyDescent="0.35">
      <c r="A9" s="28" t="s">
        <v>107</v>
      </c>
      <c r="B9" s="9" t="s">
        <v>108</v>
      </c>
      <c r="C9" s="10">
        <v>62338261.200000003</v>
      </c>
      <c r="D9" s="10">
        <v>8295.15</v>
      </c>
      <c r="E9" s="12">
        <f t="shared" si="0"/>
        <v>7515.0251894179137</v>
      </c>
    </row>
    <row r="10" spans="1:5" x14ac:dyDescent="0.35">
      <c r="A10" s="28" t="s">
        <v>192</v>
      </c>
      <c r="B10" s="9" t="s">
        <v>193</v>
      </c>
      <c r="C10" s="10">
        <v>26243773.949999999</v>
      </c>
      <c r="D10" s="10">
        <v>3422.1</v>
      </c>
      <c r="E10" s="12">
        <f t="shared" si="0"/>
        <v>7668.9091347418253</v>
      </c>
    </row>
    <row r="11" spans="1:5" x14ac:dyDescent="0.35">
      <c r="A11" s="28" t="s">
        <v>101</v>
      </c>
      <c r="B11" s="9" t="s">
        <v>102</v>
      </c>
      <c r="C11" s="10">
        <v>28827704.100000001</v>
      </c>
      <c r="D11" s="10">
        <v>3818</v>
      </c>
      <c r="E11" s="12">
        <f t="shared" si="0"/>
        <v>7550.4725248821378</v>
      </c>
    </row>
    <row r="12" spans="1:5" x14ac:dyDescent="0.35">
      <c r="A12" s="28" t="s">
        <v>69</v>
      </c>
      <c r="B12" s="9" t="s">
        <v>70</v>
      </c>
      <c r="C12" s="10">
        <v>52518932.600000001</v>
      </c>
      <c r="D12" s="10">
        <v>7585.45</v>
      </c>
      <c r="E12" s="12">
        <f t="shared" si="0"/>
        <v>6923.6409969085553</v>
      </c>
    </row>
    <row r="13" spans="1:5" x14ac:dyDescent="0.35">
      <c r="A13" s="28" t="s">
        <v>133</v>
      </c>
      <c r="B13" s="9" t="s">
        <v>134</v>
      </c>
      <c r="C13" s="10">
        <v>10469254.619999999</v>
      </c>
      <c r="D13" s="10">
        <v>1255.05</v>
      </c>
      <c r="E13" s="12">
        <f t="shared" si="0"/>
        <v>8341.7032150113537</v>
      </c>
    </row>
    <row r="14" spans="1:5" x14ac:dyDescent="0.35">
      <c r="A14" s="28" t="s">
        <v>194</v>
      </c>
      <c r="B14" s="9" t="s">
        <v>195</v>
      </c>
      <c r="C14" s="10">
        <v>20508835.77</v>
      </c>
      <c r="D14" s="10">
        <v>2436.35</v>
      </c>
      <c r="E14" s="12">
        <f t="shared" si="0"/>
        <v>8417.8528413405293</v>
      </c>
    </row>
    <row r="15" spans="1:5" x14ac:dyDescent="0.35">
      <c r="A15" s="28" t="s">
        <v>83</v>
      </c>
      <c r="B15" s="9" t="s">
        <v>84</v>
      </c>
      <c r="C15" s="10">
        <v>14073696.24</v>
      </c>
      <c r="D15" s="10">
        <v>1841.3</v>
      </c>
      <c r="E15" s="12">
        <f t="shared" si="0"/>
        <v>7643.3477651659159</v>
      </c>
    </row>
    <row r="16" spans="1:5" x14ac:dyDescent="0.35">
      <c r="A16" s="28" t="s">
        <v>143</v>
      </c>
      <c r="B16" s="9" t="s">
        <v>144</v>
      </c>
      <c r="C16" s="10">
        <v>19255207.309999999</v>
      </c>
      <c r="D16" s="10">
        <v>2428.85</v>
      </c>
      <c r="E16" s="12">
        <f t="shared" si="0"/>
        <v>7927.7054202606168</v>
      </c>
    </row>
    <row r="17" spans="1:5" x14ac:dyDescent="0.35">
      <c r="A17" s="28" t="s">
        <v>137</v>
      </c>
      <c r="B17" s="9" t="s">
        <v>138</v>
      </c>
      <c r="C17" s="10">
        <v>17036337.449999999</v>
      </c>
      <c r="D17" s="10">
        <v>2428.5</v>
      </c>
      <c r="E17" s="12">
        <f t="shared" si="0"/>
        <v>7015.1688079061141</v>
      </c>
    </row>
    <row r="18" spans="1:5" x14ac:dyDescent="0.35">
      <c r="A18" s="28" t="s">
        <v>23</v>
      </c>
      <c r="B18" s="9" t="s">
        <v>24</v>
      </c>
      <c r="C18" s="10">
        <v>20415281.489999998</v>
      </c>
      <c r="D18" s="10">
        <v>2523.6</v>
      </c>
      <c r="E18" s="12">
        <f t="shared" si="0"/>
        <v>8089.7453994293865</v>
      </c>
    </row>
    <row r="19" spans="1:5" x14ac:dyDescent="0.35">
      <c r="A19" s="28" t="s">
        <v>196</v>
      </c>
      <c r="B19" s="9" t="s">
        <v>197</v>
      </c>
      <c r="C19" s="10">
        <v>14476670.07</v>
      </c>
      <c r="D19" s="10">
        <v>1872.4</v>
      </c>
      <c r="E19" s="12">
        <f t="shared" si="0"/>
        <v>7731.6118724631488</v>
      </c>
    </row>
    <row r="20" spans="1:5" x14ac:dyDescent="0.35">
      <c r="A20" s="28" t="s">
        <v>198</v>
      </c>
      <c r="B20" s="9" t="s">
        <v>199</v>
      </c>
      <c r="C20" s="10">
        <v>7607249.5099999998</v>
      </c>
      <c r="D20" s="10">
        <v>856.15</v>
      </c>
      <c r="E20" s="12">
        <f t="shared" si="0"/>
        <v>8885.4167026806044</v>
      </c>
    </row>
    <row r="21" spans="1:5" x14ac:dyDescent="0.35">
      <c r="A21" s="28" t="s">
        <v>119</v>
      </c>
      <c r="B21" s="9" t="s">
        <v>120</v>
      </c>
      <c r="C21" s="10">
        <v>23159990.73</v>
      </c>
      <c r="D21" s="10">
        <v>2962.95</v>
      </c>
      <c r="E21" s="12">
        <f t="shared" si="0"/>
        <v>7816.5310686984258</v>
      </c>
    </row>
    <row r="22" spans="1:5" x14ac:dyDescent="0.35">
      <c r="A22" s="28" t="s">
        <v>200</v>
      </c>
      <c r="B22" s="9" t="s">
        <v>201</v>
      </c>
      <c r="C22" s="10">
        <v>16261243.26</v>
      </c>
      <c r="D22" s="10">
        <v>2176.1</v>
      </c>
      <c r="E22" s="12">
        <f t="shared" si="0"/>
        <v>7472.6544092642807</v>
      </c>
    </row>
    <row r="23" spans="1:5" x14ac:dyDescent="0.35">
      <c r="A23" s="28" t="s">
        <v>127</v>
      </c>
      <c r="B23" s="9" t="s">
        <v>128</v>
      </c>
      <c r="C23" s="10">
        <v>69193157.030000001</v>
      </c>
      <c r="D23" s="10">
        <v>9355.1</v>
      </c>
      <c r="E23" s="12">
        <f t="shared" si="0"/>
        <v>7396.3033030111919</v>
      </c>
    </row>
    <row r="24" spans="1:5" x14ac:dyDescent="0.35">
      <c r="A24" s="28" t="s">
        <v>125</v>
      </c>
      <c r="B24" s="9" t="s">
        <v>126</v>
      </c>
      <c r="C24" s="10">
        <v>25424795.440000001</v>
      </c>
      <c r="D24" s="10">
        <v>3428.35</v>
      </c>
      <c r="E24" s="12">
        <f t="shared" si="0"/>
        <v>7416.0442895270326</v>
      </c>
    </row>
    <row r="25" spans="1:5" x14ac:dyDescent="0.35">
      <c r="A25" s="28" t="s">
        <v>55</v>
      </c>
      <c r="B25" s="9" t="s">
        <v>56</v>
      </c>
      <c r="C25" s="10">
        <v>26151118.82</v>
      </c>
      <c r="D25" s="10">
        <v>3042.2</v>
      </c>
      <c r="E25" s="12">
        <f t="shared" si="0"/>
        <v>8596.1208401814474</v>
      </c>
    </row>
    <row r="26" spans="1:5" x14ac:dyDescent="0.35">
      <c r="A26" s="28" t="s">
        <v>135</v>
      </c>
      <c r="B26" s="9" t="s">
        <v>136</v>
      </c>
      <c r="C26" s="10">
        <v>65135920.859999999</v>
      </c>
      <c r="D26" s="10">
        <v>8606.9</v>
      </c>
      <c r="E26" s="12">
        <f t="shared" si="0"/>
        <v>7567.8723884325373</v>
      </c>
    </row>
    <row r="27" spans="1:5" x14ac:dyDescent="0.35">
      <c r="A27" s="28" t="s">
        <v>202</v>
      </c>
      <c r="B27" s="9" t="s">
        <v>203</v>
      </c>
      <c r="C27" s="10">
        <v>81022806.170000002</v>
      </c>
      <c r="D27" s="10">
        <v>11421.35</v>
      </c>
      <c r="E27" s="12">
        <f t="shared" si="0"/>
        <v>7093.9780472536086</v>
      </c>
    </row>
    <row r="28" spans="1:5" x14ac:dyDescent="0.35">
      <c r="A28" s="28" t="s">
        <v>204</v>
      </c>
      <c r="B28" s="9" t="s">
        <v>205</v>
      </c>
      <c r="C28" s="10">
        <v>33119700.809999999</v>
      </c>
      <c r="D28" s="10">
        <v>4188.7</v>
      </c>
      <c r="E28" s="12">
        <f t="shared" si="0"/>
        <v>7906.916420369088</v>
      </c>
    </row>
    <row r="29" spans="1:5" x14ac:dyDescent="0.35">
      <c r="A29" s="28" t="s">
        <v>206</v>
      </c>
      <c r="B29" s="9" t="s">
        <v>207</v>
      </c>
      <c r="C29" s="10">
        <v>61232754.229999997</v>
      </c>
      <c r="D29" s="10">
        <v>8343.65</v>
      </c>
      <c r="E29" s="12">
        <f t="shared" si="0"/>
        <v>7338.845017468374</v>
      </c>
    </row>
    <row r="30" spans="1:5" x14ac:dyDescent="0.35">
      <c r="A30" s="28" t="s">
        <v>103</v>
      </c>
      <c r="B30" s="9" t="s">
        <v>104</v>
      </c>
      <c r="C30" s="10">
        <v>16776859.98</v>
      </c>
      <c r="D30" s="10">
        <v>2252.3000000000002</v>
      </c>
      <c r="E30" s="12">
        <f t="shared" si="0"/>
        <v>7448.767917240154</v>
      </c>
    </row>
    <row r="31" spans="1:5" x14ac:dyDescent="0.35">
      <c r="A31" s="28" t="s">
        <v>147</v>
      </c>
      <c r="B31" s="9" t="s">
        <v>148</v>
      </c>
      <c r="C31" s="10">
        <v>27532131.43</v>
      </c>
      <c r="D31" s="10">
        <v>3582</v>
      </c>
      <c r="E31" s="12">
        <f t="shared" si="0"/>
        <v>7686.2455136795088</v>
      </c>
    </row>
    <row r="32" spans="1:5" x14ac:dyDescent="0.35">
      <c r="A32" s="28" t="s">
        <v>85</v>
      </c>
      <c r="B32" s="9" t="s">
        <v>86</v>
      </c>
      <c r="C32" s="10">
        <v>19472346.23</v>
      </c>
      <c r="D32" s="10">
        <v>2640.7</v>
      </c>
      <c r="E32" s="12">
        <f t="shared" si="0"/>
        <v>7373.9335138410279</v>
      </c>
    </row>
    <row r="33" spans="1:5" x14ac:dyDescent="0.35">
      <c r="A33" s="28" t="s">
        <v>75</v>
      </c>
      <c r="B33" s="9" t="s">
        <v>76</v>
      </c>
      <c r="C33" s="10">
        <v>8197174.75</v>
      </c>
      <c r="D33" s="10">
        <v>1015.8</v>
      </c>
      <c r="E33" s="12">
        <f t="shared" si="0"/>
        <v>8069.6739023429809</v>
      </c>
    </row>
    <row r="34" spans="1:5" x14ac:dyDescent="0.35">
      <c r="A34" s="28" t="s">
        <v>43</v>
      </c>
      <c r="B34" s="9" t="s">
        <v>44</v>
      </c>
      <c r="C34" s="10">
        <v>19399067.050000001</v>
      </c>
      <c r="D34" s="10">
        <v>2398.85</v>
      </c>
      <c r="E34" s="12">
        <f t="shared" si="0"/>
        <v>8086.8195385288791</v>
      </c>
    </row>
    <row r="35" spans="1:5" x14ac:dyDescent="0.35">
      <c r="A35" s="28" t="s">
        <v>208</v>
      </c>
      <c r="B35" s="9" t="s">
        <v>209</v>
      </c>
      <c r="C35" s="10">
        <v>18169520.609999999</v>
      </c>
      <c r="D35" s="10">
        <v>2463.35</v>
      </c>
      <c r="E35" s="12">
        <f t="shared" si="0"/>
        <v>7375.9395173239691</v>
      </c>
    </row>
    <row r="36" spans="1:5" x14ac:dyDescent="0.35">
      <c r="A36" s="28" t="s">
        <v>179</v>
      </c>
      <c r="B36" s="9" t="s">
        <v>180</v>
      </c>
      <c r="C36" s="10">
        <v>46410530.609999999</v>
      </c>
      <c r="D36" s="10">
        <v>6314.55</v>
      </c>
      <c r="E36" s="12">
        <f t="shared" si="0"/>
        <v>7349.776406869848</v>
      </c>
    </row>
    <row r="37" spans="1:5" x14ac:dyDescent="0.35">
      <c r="A37" s="28" t="s">
        <v>210</v>
      </c>
      <c r="B37" s="9" t="s">
        <v>211</v>
      </c>
      <c r="C37" s="10">
        <v>41403733.259999998</v>
      </c>
      <c r="D37" s="10">
        <v>5152.95</v>
      </c>
      <c r="E37" s="12">
        <f t="shared" si="0"/>
        <v>8034.957307949815</v>
      </c>
    </row>
    <row r="38" spans="1:5" x14ac:dyDescent="0.35">
      <c r="A38" s="28" t="s">
        <v>87</v>
      </c>
      <c r="B38" s="9" t="s">
        <v>88</v>
      </c>
      <c r="C38" s="10">
        <v>244554870.56</v>
      </c>
      <c r="D38" s="10">
        <v>35823.050000000003</v>
      </c>
      <c r="E38" s="12">
        <f t="shared" si="0"/>
        <v>6826.746202794011</v>
      </c>
    </row>
    <row r="39" spans="1:5" x14ac:dyDescent="0.35">
      <c r="A39" s="28" t="s">
        <v>115</v>
      </c>
      <c r="B39" s="9" t="s">
        <v>116</v>
      </c>
      <c r="C39" s="10">
        <v>16768197.98</v>
      </c>
      <c r="D39" s="10">
        <v>2222.1</v>
      </c>
      <c r="E39" s="12">
        <f t="shared" si="0"/>
        <v>7546.1041267269702</v>
      </c>
    </row>
    <row r="40" spans="1:5" x14ac:dyDescent="0.35">
      <c r="A40" s="28" t="s">
        <v>212</v>
      </c>
      <c r="B40" s="9" t="s">
        <v>213</v>
      </c>
      <c r="C40" s="10">
        <v>56485499.649999999</v>
      </c>
      <c r="D40" s="10">
        <v>7917</v>
      </c>
      <c r="E40" s="12">
        <f t="shared" si="0"/>
        <v>7134.7100732600729</v>
      </c>
    </row>
    <row r="41" spans="1:5" x14ac:dyDescent="0.35">
      <c r="A41" s="28" t="s">
        <v>214</v>
      </c>
      <c r="B41" s="9" t="s">
        <v>215</v>
      </c>
      <c r="C41" s="10">
        <v>34630186.119999997</v>
      </c>
      <c r="D41" s="10">
        <v>4578.05</v>
      </c>
      <c r="E41" s="12">
        <f t="shared" si="0"/>
        <v>7564.3966579657272</v>
      </c>
    </row>
    <row r="42" spans="1:5" x14ac:dyDescent="0.35">
      <c r="A42" s="28" t="s">
        <v>175</v>
      </c>
      <c r="B42" s="9" t="s">
        <v>176</v>
      </c>
      <c r="C42" s="10">
        <v>64364838.369999997</v>
      </c>
      <c r="D42" s="10">
        <v>9309.4</v>
      </c>
      <c r="E42" s="12">
        <f t="shared" si="0"/>
        <v>6913.9620566309322</v>
      </c>
    </row>
    <row r="43" spans="1:5" x14ac:dyDescent="0.35">
      <c r="A43" s="28" t="s">
        <v>216</v>
      </c>
      <c r="B43" s="9" t="s">
        <v>217</v>
      </c>
      <c r="C43" s="10">
        <v>67551067.670000002</v>
      </c>
      <c r="D43" s="10">
        <v>10394.85</v>
      </c>
      <c r="E43" s="12">
        <f t="shared" si="0"/>
        <v>6498.5129819093108</v>
      </c>
    </row>
    <row r="44" spans="1:5" x14ac:dyDescent="0.35">
      <c r="A44" s="28" t="s">
        <v>27</v>
      </c>
      <c r="B44" s="9" t="s">
        <v>28</v>
      </c>
      <c r="C44" s="10">
        <v>12040187.300000001</v>
      </c>
      <c r="D44" s="10">
        <v>1391.85</v>
      </c>
      <c r="E44" s="12">
        <f t="shared" si="0"/>
        <v>8650.4920070409898</v>
      </c>
    </row>
    <row r="45" spans="1:5" x14ac:dyDescent="0.35">
      <c r="A45" s="28" t="s">
        <v>105</v>
      </c>
      <c r="B45" s="9" t="s">
        <v>106</v>
      </c>
      <c r="C45" s="10">
        <v>15190445.09</v>
      </c>
      <c r="D45" s="10">
        <v>1900.15</v>
      </c>
      <c r="E45" s="12">
        <f t="shared" si="0"/>
        <v>7994.339967897271</v>
      </c>
    </row>
    <row r="46" spans="1:5" x14ac:dyDescent="0.35">
      <c r="A46" s="28" t="s">
        <v>218</v>
      </c>
      <c r="B46" s="9" t="s">
        <v>219</v>
      </c>
      <c r="C46" s="10">
        <v>151742928.31</v>
      </c>
      <c r="D46" s="10">
        <v>18514.95</v>
      </c>
      <c r="E46" s="12">
        <f t="shared" si="0"/>
        <v>8195.6974396366186</v>
      </c>
    </row>
    <row r="47" spans="1:5" x14ac:dyDescent="0.35">
      <c r="A47" s="28" t="s">
        <v>17</v>
      </c>
      <c r="B47" s="9" t="s">
        <v>18</v>
      </c>
      <c r="C47" s="10">
        <v>9307431.6999999993</v>
      </c>
      <c r="D47" s="10">
        <v>958.2</v>
      </c>
      <c r="E47" s="12">
        <f t="shared" si="0"/>
        <v>9713.4540805677298</v>
      </c>
    </row>
    <row r="48" spans="1:5" x14ac:dyDescent="0.35">
      <c r="A48" s="28" t="s">
        <v>163</v>
      </c>
      <c r="B48" s="9" t="s">
        <v>164</v>
      </c>
      <c r="C48" s="10">
        <v>24840107.5</v>
      </c>
      <c r="D48" s="10">
        <v>3235</v>
      </c>
      <c r="E48" s="12">
        <f t="shared" si="0"/>
        <v>7678.5494590417311</v>
      </c>
    </row>
    <row r="49" spans="1:5" x14ac:dyDescent="0.35">
      <c r="A49" s="28" t="s">
        <v>111</v>
      </c>
      <c r="B49" s="9" t="s">
        <v>112</v>
      </c>
      <c r="C49" s="10">
        <v>39256944.740000002</v>
      </c>
      <c r="D49" s="10">
        <v>5440.7</v>
      </c>
      <c r="E49" s="12">
        <f t="shared" si="0"/>
        <v>7215.4216810336911</v>
      </c>
    </row>
    <row r="50" spans="1:5" x14ac:dyDescent="0.35">
      <c r="A50" s="28" t="s">
        <v>183</v>
      </c>
      <c r="B50" s="9" t="s">
        <v>184</v>
      </c>
      <c r="C50" s="10">
        <v>371905952.74000001</v>
      </c>
      <c r="D50" s="10">
        <v>53419.4</v>
      </c>
      <c r="E50" s="12">
        <f t="shared" si="0"/>
        <v>6962.0016836579971</v>
      </c>
    </row>
    <row r="51" spans="1:5" x14ac:dyDescent="0.35">
      <c r="A51" s="28" t="s">
        <v>145</v>
      </c>
      <c r="B51" s="9" t="s">
        <v>146</v>
      </c>
      <c r="C51" s="10">
        <v>25173361.68</v>
      </c>
      <c r="D51" s="10">
        <v>3249.5</v>
      </c>
      <c r="E51" s="12">
        <f t="shared" si="0"/>
        <v>7746.8415694722262</v>
      </c>
    </row>
    <row r="52" spans="1:5" x14ac:dyDescent="0.35">
      <c r="A52" s="28" t="s">
        <v>151</v>
      </c>
      <c r="B52" s="9" t="s">
        <v>152</v>
      </c>
      <c r="C52" s="10">
        <v>196177560.41999999</v>
      </c>
      <c r="D52" s="10">
        <v>28899.15</v>
      </c>
      <c r="E52" s="12">
        <f t="shared" si="0"/>
        <v>6788.3505369535078</v>
      </c>
    </row>
    <row r="53" spans="1:5" x14ac:dyDescent="0.35">
      <c r="A53" s="28" t="s">
        <v>177</v>
      </c>
      <c r="B53" s="9" t="s">
        <v>178</v>
      </c>
      <c r="C53" s="10">
        <v>53945032.93</v>
      </c>
      <c r="D53" s="10">
        <v>7386.8</v>
      </c>
      <c r="E53" s="12">
        <f t="shared" si="0"/>
        <v>7302.8961025071749</v>
      </c>
    </row>
    <row r="54" spans="1:5" x14ac:dyDescent="0.35">
      <c r="A54" s="28" t="s">
        <v>41</v>
      </c>
      <c r="B54" s="9" t="s">
        <v>42</v>
      </c>
      <c r="C54" s="10">
        <v>9756846.4900000002</v>
      </c>
      <c r="D54" s="10">
        <v>1257.3</v>
      </c>
      <c r="E54" s="12">
        <f t="shared" si="0"/>
        <v>7760.1578700389728</v>
      </c>
    </row>
    <row r="55" spans="1:5" x14ac:dyDescent="0.35">
      <c r="A55" s="28" t="s">
        <v>25</v>
      </c>
      <c r="B55" s="9" t="s">
        <v>26</v>
      </c>
      <c r="C55" s="10">
        <v>19953485.91</v>
      </c>
      <c r="D55" s="10">
        <v>2465.35</v>
      </c>
      <c r="E55" s="12">
        <f t="shared" si="0"/>
        <v>8093.5712616869823</v>
      </c>
    </row>
    <row r="56" spans="1:5" x14ac:dyDescent="0.35">
      <c r="A56" s="28" t="s">
        <v>167</v>
      </c>
      <c r="B56" s="9" t="s">
        <v>168</v>
      </c>
      <c r="C56" s="10">
        <v>16967000.440000001</v>
      </c>
      <c r="D56" s="10">
        <v>2139.0500000000002</v>
      </c>
      <c r="E56" s="12">
        <f t="shared" si="0"/>
        <v>7932.0261050466324</v>
      </c>
    </row>
    <row r="57" spans="1:5" x14ac:dyDescent="0.35">
      <c r="A57" s="28" t="s">
        <v>45</v>
      </c>
      <c r="B57" s="9" t="s">
        <v>46</v>
      </c>
      <c r="C57" s="10">
        <v>16261412.859999999</v>
      </c>
      <c r="D57" s="10">
        <v>2088</v>
      </c>
      <c r="E57" s="12">
        <f t="shared" si="0"/>
        <v>7788.0329789272027</v>
      </c>
    </row>
    <row r="58" spans="1:5" x14ac:dyDescent="0.35">
      <c r="A58" s="28" t="s">
        <v>173</v>
      </c>
      <c r="B58" s="9" t="s">
        <v>174</v>
      </c>
      <c r="C58" s="10">
        <v>26033149.98</v>
      </c>
      <c r="D58" s="10">
        <v>3385.3</v>
      </c>
      <c r="E58" s="12">
        <f t="shared" si="0"/>
        <v>7690.0570052875664</v>
      </c>
    </row>
    <row r="59" spans="1:5" x14ac:dyDescent="0.35">
      <c r="A59" s="28" t="s">
        <v>220</v>
      </c>
      <c r="B59" s="9" t="s">
        <v>221</v>
      </c>
      <c r="C59" s="10">
        <v>65488791.07</v>
      </c>
      <c r="D59" s="10">
        <v>9092.1</v>
      </c>
      <c r="E59" s="12">
        <f t="shared" si="0"/>
        <v>7202.8234478283339</v>
      </c>
    </row>
    <row r="60" spans="1:5" x14ac:dyDescent="0.35">
      <c r="A60" s="28" t="s">
        <v>222</v>
      </c>
      <c r="B60" s="9" t="s">
        <v>223</v>
      </c>
      <c r="C60" s="10">
        <v>138495107.91999999</v>
      </c>
      <c r="D60" s="10">
        <v>20608.099999999999</v>
      </c>
      <c r="E60" s="12">
        <f t="shared" si="0"/>
        <v>6720.4209956279328</v>
      </c>
    </row>
    <row r="61" spans="1:5" x14ac:dyDescent="0.35">
      <c r="A61" s="28" t="s">
        <v>59</v>
      </c>
      <c r="B61" s="9" t="s">
        <v>60</v>
      </c>
      <c r="C61" s="10">
        <v>11776198.960000001</v>
      </c>
      <c r="D61" s="10">
        <v>1307.3</v>
      </c>
      <c r="E61" s="12">
        <f t="shared" si="0"/>
        <v>9008.0310257783221</v>
      </c>
    </row>
    <row r="62" spans="1:5" x14ac:dyDescent="0.35">
      <c r="A62" s="28" t="s">
        <v>35</v>
      </c>
      <c r="B62" s="9" t="s">
        <v>36</v>
      </c>
      <c r="C62" s="10">
        <v>52994417.969999999</v>
      </c>
      <c r="D62" s="10">
        <v>7227.65</v>
      </c>
      <c r="E62" s="12">
        <f t="shared" si="0"/>
        <v>7332.1782280547623</v>
      </c>
    </row>
    <row r="63" spans="1:5" x14ac:dyDescent="0.35">
      <c r="A63" s="28" t="s">
        <v>91</v>
      </c>
      <c r="B63" s="9" t="s">
        <v>92</v>
      </c>
      <c r="C63" s="10">
        <v>20402588.710000001</v>
      </c>
      <c r="D63" s="10">
        <v>2783.7</v>
      </c>
      <c r="E63" s="12">
        <f t="shared" si="0"/>
        <v>7329.3058555160405</v>
      </c>
    </row>
    <row r="64" spans="1:5" x14ac:dyDescent="0.35">
      <c r="A64" s="28" t="s">
        <v>169</v>
      </c>
      <c r="B64" s="9" t="s">
        <v>170</v>
      </c>
      <c r="C64" s="10">
        <v>131971390.06999999</v>
      </c>
      <c r="D64" s="10">
        <v>18281.45</v>
      </c>
      <c r="E64" s="12">
        <f t="shared" si="0"/>
        <v>7218.8688572295951</v>
      </c>
    </row>
    <row r="65" spans="1:5" x14ac:dyDescent="0.35">
      <c r="A65" s="28" t="s">
        <v>113</v>
      </c>
      <c r="B65" s="9" t="s">
        <v>114</v>
      </c>
      <c r="C65" s="10">
        <v>50734635.520000003</v>
      </c>
      <c r="D65" s="10">
        <v>7160.15</v>
      </c>
      <c r="E65" s="12">
        <f t="shared" si="0"/>
        <v>7085.6945064000065</v>
      </c>
    </row>
    <row r="66" spans="1:5" x14ac:dyDescent="0.35">
      <c r="A66" s="28" t="s">
        <v>121</v>
      </c>
      <c r="B66" s="9" t="s">
        <v>122</v>
      </c>
      <c r="C66" s="10">
        <v>20464242.879999999</v>
      </c>
      <c r="D66" s="10">
        <v>2641.65</v>
      </c>
      <c r="E66" s="12">
        <f t="shared" si="0"/>
        <v>7746.7654231256975</v>
      </c>
    </row>
    <row r="67" spans="1:5" x14ac:dyDescent="0.35">
      <c r="A67" s="28" t="s">
        <v>15</v>
      </c>
      <c r="B67" s="9" t="s">
        <v>16</v>
      </c>
      <c r="C67" s="10">
        <v>12855563.029999999</v>
      </c>
      <c r="D67" s="10">
        <v>1489.35</v>
      </c>
      <c r="E67" s="12">
        <f t="shared" ref="E67:E130" si="1">C67/D67</f>
        <v>8631.6601403296736</v>
      </c>
    </row>
    <row r="68" spans="1:5" x14ac:dyDescent="0.35">
      <c r="A68" s="28" t="s">
        <v>165</v>
      </c>
      <c r="B68" s="9" t="s">
        <v>166</v>
      </c>
      <c r="C68" s="10">
        <v>19739118.09</v>
      </c>
      <c r="D68" s="10">
        <v>2284.25</v>
      </c>
      <c r="E68" s="12">
        <f t="shared" si="1"/>
        <v>8641.4000612892632</v>
      </c>
    </row>
    <row r="69" spans="1:5" x14ac:dyDescent="0.35">
      <c r="A69" s="28" t="s">
        <v>224</v>
      </c>
      <c r="B69" s="9" t="s">
        <v>225</v>
      </c>
      <c r="C69" s="10">
        <v>37191065.670000002</v>
      </c>
      <c r="D69" s="10">
        <v>5502.95</v>
      </c>
      <c r="E69" s="12">
        <f t="shared" si="1"/>
        <v>6758.3869869797118</v>
      </c>
    </row>
    <row r="70" spans="1:5" x14ac:dyDescent="0.35">
      <c r="A70" s="28" t="s">
        <v>89</v>
      </c>
      <c r="B70" s="9" t="s">
        <v>90</v>
      </c>
      <c r="C70" s="10">
        <v>20932166.460000001</v>
      </c>
      <c r="D70" s="10">
        <v>2975.65</v>
      </c>
      <c r="E70" s="12">
        <f t="shared" si="1"/>
        <v>7034.4853931073885</v>
      </c>
    </row>
    <row r="71" spans="1:5" x14ac:dyDescent="0.35">
      <c r="A71" s="28" t="s">
        <v>226</v>
      </c>
      <c r="B71" s="9" t="s">
        <v>227</v>
      </c>
      <c r="C71" s="10">
        <v>42310530.450000003</v>
      </c>
      <c r="D71" s="10">
        <v>6108.1</v>
      </c>
      <c r="E71" s="12">
        <f t="shared" si="1"/>
        <v>6926.9544457359898</v>
      </c>
    </row>
    <row r="72" spans="1:5" x14ac:dyDescent="0.35">
      <c r="A72" s="28" t="s">
        <v>149</v>
      </c>
      <c r="B72" s="9" t="s">
        <v>150</v>
      </c>
      <c r="C72" s="10">
        <v>12005637.609999999</v>
      </c>
      <c r="D72" s="10">
        <v>1739.95</v>
      </c>
      <c r="E72" s="12">
        <f t="shared" si="1"/>
        <v>6899.9900054599266</v>
      </c>
    </row>
    <row r="73" spans="1:5" x14ac:dyDescent="0.35">
      <c r="A73" s="28" t="s">
        <v>47</v>
      </c>
      <c r="B73" s="9" t="s">
        <v>48</v>
      </c>
      <c r="C73" s="10">
        <v>15192427.210000001</v>
      </c>
      <c r="D73" s="10">
        <v>1910.2</v>
      </c>
      <c r="E73" s="12">
        <f t="shared" si="1"/>
        <v>7953.317563605905</v>
      </c>
    </row>
    <row r="74" spans="1:5" x14ac:dyDescent="0.35">
      <c r="A74" s="28" t="s">
        <v>228</v>
      </c>
      <c r="B74" s="9" t="s">
        <v>229</v>
      </c>
      <c r="C74" s="10">
        <v>17739365.800000001</v>
      </c>
      <c r="D74" s="10">
        <v>2524.3000000000002</v>
      </c>
      <c r="E74" s="12">
        <f t="shared" si="1"/>
        <v>7027.4396070197672</v>
      </c>
    </row>
    <row r="75" spans="1:5" x14ac:dyDescent="0.35">
      <c r="A75" s="28" t="s">
        <v>230</v>
      </c>
      <c r="B75" s="9" t="s">
        <v>231</v>
      </c>
      <c r="C75" s="10">
        <v>28345561.91</v>
      </c>
      <c r="D75" s="10">
        <v>4276.1000000000004</v>
      </c>
      <c r="E75" s="12">
        <f t="shared" si="1"/>
        <v>6628.8351324805308</v>
      </c>
    </row>
    <row r="76" spans="1:5" x14ac:dyDescent="0.35">
      <c r="A76" s="28" t="s">
        <v>71</v>
      </c>
      <c r="B76" s="9" t="s">
        <v>72</v>
      </c>
      <c r="C76" s="10">
        <v>11526256.449999999</v>
      </c>
      <c r="D76" s="10">
        <v>1553.95</v>
      </c>
      <c r="E76" s="12">
        <f t="shared" si="1"/>
        <v>7417.3920975578358</v>
      </c>
    </row>
    <row r="77" spans="1:5" x14ac:dyDescent="0.35">
      <c r="A77" s="28" t="s">
        <v>232</v>
      </c>
      <c r="B77" s="9" t="s">
        <v>233</v>
      </c>
      <c r="C77" s="10">
        <v>59253485.450000003</v>
      </c>
      <c r="D77" s="10">
        <v>8716.1</v>
      </c>
      <c r="E77" s="12">
        <f t="shared" si="1"/>
        <v>6798.1649418891475</v>
      </c>
    </row>
    <row r="78" spans="1:5" x14ac:dyDescent="0.35">
      <c r="A78" s="28" t="s">
        <v>77</v>
      </c>
      <c r="B78" s="9" t="s">
        <v>78</v>
      </c>
      <c r="C78" s="10">
        <v>24963211.27</v>
      </c>
      <c r="D78" s="10">
        <v>3572.15</v>
      </c>
      <c r="E78" s="12">
        <f t="shared" si="1"/>
        <v>6988.2875215206523</v>
      </c>
    </row>
    <row r="79" spans="1:5" x14ac:dyDescent="0.35">
      <c r="A79" s="28" t="s">
        <v>93</v>
      </c>
      <c r="B79" s="9" t="s">
        <v>94</v>
      </c>
      <c r="C79" s="10">
        <v>155015369.41999999</v>
      </c>
      <c r="D79" s="10">
        <v>22511.3</v>
      </c>
      <c r="E79" s="12">
        <f t="shared" si="1"/>
        <v>6886.1136149400518</v>
      </c>
    </row>
    <row r="80" spans="1:5" x14ac:dyDescent="0.35">
      <c r="A80" s="28" t="s">
        <v>73</v>
      </c>
      <c r="B80" s="9" t="s">
        <v>74</v>
      </c>
      <c r="C80" s="10">
        <v>16225344.119999999</v>
      </c>
      <c r="D80" s="10">
        <v>2338.75</v>
      </c>
      <c r="E80" s="12">
        <f t="shared" si="1"/>
        <v>6937.6137338321751</v>
      </c>
    </row>
    <row r="81" spans="1:5" x14ac:dyDescent="0.35">
      <c r="A81" s="28" t="s">
        <v>234</v>
      </c>
      <c r="B81" s="9" t="s">
        <v>235</v>
      </c>
      <c r="C81" s="10">
        <v>7792364.3200000003</v>
      </c>
      <c r="D81" s="10">
        <v>1126.55</v>
      </c>
      <c r="E81" s="12">
        <f t="shared" si="1"/>
        <v>6917.0159513559101</v>
      </c>
    </row>
    <row r="82" spans="1:5" x14ac:dyDescent="0.35">
      <c r="A82" s="28" t="s">
        <v>95</v>
      </c>
      <c r="B82" s="9" t="s">
        <v>96</v>
      </c>
      <c r="C82" s="10">
        <v>7831521.75</v>
      </c>
      <c r="D82" s="10">
        <v>1104.55</v>
      </c>
      <c r="E82" s="12">
        <f t="shared" si="1"/>
        <v>7090.2374270064738</v>
      </c>
    </row>
    <row r="83" spans="1:5" x14ac:dyDescent="0.35">
      <c r="A83" s="28" t="s">
        <v>236</v>
      </c>
      <c r="B83" s="9" t="s">
        <v>237</v>
      </c>
      <c r="C83" s="10">
        <v>20967398.309999999</v>
      </c>
      <c r="D83" s="10">
        <v>3155.9</v>
      </c>
      <c r="E83" s="12">
        <f t="shared" si="1"/>
        <v>6643.8728445134502</v>
      </c>
    </row>
    <row r="84" spans="1:5" x14ac:dyDescent="0.35">
      <c r="A84" s="28" t="s">
        <v>51</v>
      </c>
      <c r="B84" s="9" t="s">
        <v>52</v>
      </c>
      <c r="C84" s="10">
        <v>7146848.6799999997</v>
      </c>
      <c r="D84" s="10">
        <v>1050.3499999999999</v>
      </c>
      <c r="E84" s="12">
        <f t="shared" si="1"/>
        <v>6804.2544675584331</v>
      </c>
    </row>
    <row r="85" spans="1:5" x14ac:dyDescent="0.35">
      <c r="A85" s="28" t="s">
        <v>139</v>
      </c>
      <c r="B85" s="9" t="s">
        <v>140</v>
      </c>
      <c r="C85" s="10">
        <v>62474492.880000003</v>
      </c>
      <c r="D85" s="10">
        <v>8481.5499999999993</v>
      </c>
      <c r="E85" s="12">
        <f t="shared" si="1"/>
        <v>7365.9287370822558</v>
      </c>
    </row>
    <row r="86" spans="1:5" x14ac:dyDescent="0.35">
      <c r="A86" s="28" t="s">
        <v>141</v>
      </c>
      <c r="B86" s="9" t="s">
        <v>142</v>
      </c>
      <c r="C86" s="10">
        <v>15037369.85</v>
      </c>
      <c r="D86" s="10">
        <v>2187.5</v>
      </c>
      <c r="E86" s="12">
        <f t="shared" si="1"/>
        <v>6874.2262171428574</v>
      </c>
    </row>
    <row r="87" spans="1:5" x14ac:dyDescent="0.35">
      <c r="A87" s="28" t="s">
        <v>31</v>
      </c>
      <c r="B87" s="9" t="s">
        <v>32</v>
      </c>
      <c r="C87" s="10">
        <v>62197527.090000004</v>
      </c>
      <c r="D87" s="10">
        <v>9011.4</v>
      </c>
      <c r="E87" s="12">
        <f t="shared" si="1"/>
        <v>6902.0936913243231</v>
      </c>
    </row>
    <row r="88" spans="1:5" x14ac:dyDescent="0.35">
      <c r="A88" s="28" t="s">
        <v>117</v>
      </c>
      <c r="B88" s="9" t="s">
        <v>118</v>
      </c>
      <c r="C88" s="10">
        <v>4913553.75</v>
      </c>
      <c r="D88" s="10">
        <v>604.35</v>
      </c>
      <c r="E88" s="12">
        <f t="shared" si="1"/>
        <v>8130.311491685281</v>
      </c>
    </row>
    <row r="89" spans="1:5" x14ac:dyDescent="0.35">
      <c r="A89" s="28" t="s">
        <v>238</v>
      </c>
      <c r="B89" s="9" t="s">
        <v>239</v>
      </c>
      <c r="C89" s="10">
        <v>45740078.939999998</v>
      </c>
      <c r="D89" s="10">
        <v>6620.7</v>
      </c>
      <c r="E89" s="12">
        <f t="shared" si="1"/>
        <v>6908.6469618016217</v>
      </c>
    </row>
    <row r="90" spans="1:5" x14ac:dyDescent="0.35">
      <c r="A90" s="28" t="s">
        <v>240</v>
      </c>
      <c r="B90" s="9" t="s">
        <v>241</v>
      </c>
      <c r="C90" s="10">
        <v>29984864.420000002</v>
      </c>
      <c r="D90" s="10">
        <v>5287.6</v>
      </c>
      <c r="E90" s="12">
        <f t="shared" si="1"/>
        <v>5670.7890952416974</v>
      </c>
    </row>
    <row r="91" spans="1:5" x14ac:dyDescent="0.35">
      <c r="A91" s="28" t="s">
        <v>37</v>
      </c>
      <c r="B91" s="9" t="s">
        <v>38</v>
      </c>
      <c r="C91" s="10">
        <v>13207663.99</v>
      </c>
      <c r="D91" s="10">
        <v>1617.55</v>
      </c>
      <c r="E91" s="12">
        <f t="shared" si="1"/>
        <v>8165.2276529319033</v>
      </c>
    </row>
    <row r="92" spans="1:5" x14ac:dyDescent="0.35">
      <c r="A92" s="28" t="s">
        <v>242</v>
      </c>
      <c r="B92" s="9" t="s">
        <v>243</v>
      </c>
      <c r="C92" s="10">
        <v>30709409.039999999</v>
      </c>
      <c r="D92" s="10">
        <v>4263.1499999999996</v>
      </c>
      <c r="E92" s="12">
        <f t="shared" si="1"/>
        <v>7203.4549663980861</v>
      </c>
    </row>
    <row r="93" spans="1:5" x14ac:dyDescent="0.35">
      <c r="A93" s="28" t="s">
        <v>99</v>
      </c>
      <c r="B93" s="9" t="s">
        <v>100</v>
      </c>
      <c r="C93" s="10">
        <v>20978829.559999999</v>
      </c>
      <c r="D93" s="10">
        <v>3161.65</v>
      </c>
      <c r="E93" s="12">
        <f t="shared" si="1"/>
        <v>6635.4054243828377</v>
      </c>
    </row>
    <row r="94" spans="1:5" x14ac:dyDescent="0.35">
      <c r="A94" s="28" t="s">
        <v>33</v>
      </c>
      <c r="B94" s="9" t="s">
        <v>34</v>
      </c>
      <c r="C94" s="10">
        <v>35087374.079999998</v>
      </c>
      <c r="D94" s="10">
        <v>5103.3999999999996</v>
      </c>
      <c r="E94" s="12">
        <f t="shared" si="1"/>
        <v>6875.2937414272837</v>
      </c>
    </row>
    <row r="95" spans="1:5" x14ac:dyDescent="0.35">
      <c r="A95" s="28" t="s">
        <v>244</v>
      </c>
      <c r="B95" s="9" t="s">
        <v>245</v>
      </c>
      <c r="C95" s="10">
        <v>9088455.0600000005</v>
      </c>
      <c r="D95" s="10">
        <v>1251.3499999999999</v>
      </c>
      <c r="E95" s="12">
        <f t="shared" si="1"/>
        <v>7262.9200942981588</v>
      </c>
    </row>
    <row r="96" spans="1:5" x14ac:dyDescent="0.35">
      <c r="A96" s="28" t="s">
        <v>248</v>
      </c>
      <c r="B96" s="9" t="s">
        <v>249</v>
      </c>
      <c r="C96" s="10">
        <v>13856398.74</v>
      </c>
      <c r="D96" s="10">
        <v>1840.3</v>
      </c>
      <c r="E96" s="12">
        <f t="shared" si="1"/>
        <v>7529.4238656740754</v>
      </c>
    </row>
    <row r="97" spans="1:5" x14ac:dyDescent="0.35">
      <c r="A97" s="28" t="s">
        <v>123</v>
      </c>
      <c r="B97" s="9" t="s">
        <v>124</v>
      </c>
      <c r="C97" s="10">
        <v>11492098.789999999</v>
      </c>
      <c r="D97" s="10">
        <v>1588.45</v>
      </c>
      <c r="E97" s="12">
        <f t="shared" si="1"/>
        <v>7234.7878686770118</v>
      </c>
    </row>
    <row r="98" spans="1:5" x14ac:dyDescent="0.35">
      <c r="A98" s="28" t="s">
        <v>250</v>
      </c>
      <c r="B98" s="9" t="s">
        <v>251</v>
      </c>
      <c r="C98" s="10">
        <v>22780535.91</v>
      </c>
      <c r="D98" s="10">
        <v>3332.75</v>
      </c>
      <c r="E98" s="12">
        <f t="shared" si="1"/>
        <v>6835.3569604680815</v>
      </c>
    </row>
    <row r="99" spans="1:5" x14ac:dyDescent="0.35">
      <c r="A99" s="28" t="s">
        <v>252</v>
      </c>
      <c r="B99" s="9" t="s">
        <v>253</v>
      </c>
      <c r="C99" s="10">
        <v>26532215.109999999</v>
      </c>
      <c r="D99" s="10">
        <v>4277.6000000000004</v>
      </c>
      <c r="E99" s="12">
        <f t="shared" si="1"/>
        <v>6202.5937698709549</v>
      </c>
    </row>
    <row r="100" spans="1:5" x14ac:dyDescent="0.35">
      <c r="A100" s="28" t="s">
        <v>254</v>
      </c>
      <c r="B100" s="9" t="s">
        <v>255</v>
      </c>
      <c r="C100" s="10">
        <v>96489663.430000007</v>
      </c>
      <c r="D100" s="10">
        <v>13856.4</v>
      </c>
      <c r="E100" s="12">
        <f t="shared" si="1"/>
        <v>6963.5448911694239</v>
      </c>
    </row>
    <row r="101" spans="1:5" x14ac:dyDescent="0.35">
      <c r="A101" s="28" t="s">
        <v>256</v>
      </c>
      <c r="B101" s="9" t="s">
        <v>257</v>
      </c>
      <c r="C101" s="10">
        <v>143261166.47</v>
      </c>
      <c r="D101" s="10">
        <v>23051.75</v>
      </c>
      <c r="E101" s="12">
        <f t="shared" si="1"/>
        <v>6214.763151170735</v>
      </c>
    </row>
    <row r="102" spans="1:5" x14ac:dyDescent="0.35">
      <c r="A102" s="28" t="s">
        <v>258</v>
      </c>
      <c r="B102" s="9" t="s">
        <v>259</v>
      </c>
      <c r="C102" s="10">
        <v>11239594.5</v>
      </c>
      <c r="D102" s="10">
        <v>1576.2</v>
      </c>
      <c r="E102" s="12">
        <f t="shared" si="1"/>
        <v>7130.8174724019791</v>
      </c>
    </row>
    <row r="103" spans="1:5" x14ac:dyDescent="0.35">
      <c r="A103" s="28" t="s">
        <v>260</v>
      </c>
      <c r="B103" s="9" t="s">
        <v>261</v>
      </c>
      <c r="C103" s="10">
        <v>18033184.850000001</v>
      </c>
      <c r="D103" s="10">
        <v>2685.95</v>
      </c>
      <c r="E103" s="12">
        <f t="shared" si="1"/>
        <v>6713.8944693683807</v>
      </c>
    </row>
    <row r="104" spans="1:5" x14ac:dyDescent="0.35">
      <c r="A104" s="28" t="s">
        <v>7</v>
      </c>
      <c r="B104" s="9" t="s">
        <v>8</v>
      </c>
      <c r="C104" s="10">
        <v>6667461.46</v>
      </c>
      <c r="D104" s="10">
        <v>895.45</v>
      </c>
      <c r="E104" s="12">
        <f t="shared" si="1"/>
        <v>7445.9338433190014</v>
      </c>
    </row>
    <row r="105" spans="1:5" x14ac:dyDescent="0.35">
      <c r="A105" s="28" t="s">
        <v>262</v>
      </c>
      <c r="B105" s="9" t="s">
        <v>263</v>
      </c>
      <c r="C105" s="10">
        <v>14094706.310000001</v>
      </c>
      <c r="D105" s="10">
        <v>1835.35</v>
      </c>
      <c r="E105" s="12">
        <f t="shared" si="1"/>
        <v>7679.5740921350161</v>
      </c>
    </row>
    <row r="106" spans="1:5" x14ac:dyDescent="0.35">
      <c r="A106" s="28" t="s">
        <v>81</v>
      </c>
      <c r="B106" s="9" t="s">
        <v>82</v>
      </c>
      <c r="C106" s="10">
        <v>3637071.3</v>
      </c>
      <c r="D106" s="10">
        <v>460</v>
      </c>
      <c r="E106" s="12">
        <f t="shared" si="1"/>
        <v>7906.6767391304347</v>
      </c>
    </row>
    <row r="107" spans="1:5" x14ac:dyDescent="0.35">
      <c r="A107" s="28" t="s">
        <v>264</v>
      </c>
      <c r="B107" s="9" t="s">
        <v>265</v>
      </c>
      <c r="C107" s="10">
        <v>73885105.079999998</v>
      </c>
      <c r="D107" s="10">
        <v>11054</v>
      </c>
      <c r="E107" s="12">
        <f t="shared" si="1"/>
        <v>6684.0152958205172</v>
      </c>
    </row>
    <row r="108" spans="1:5" x14ac:dyDescent="0.35">
      <c r="A108" s="28" t="s">
        <v>29</v>
      </c>
      <c r="B108" s="9" t="s">
        <v>30</v>
      </c>
      <c r="C108" s="10">
        <v>8302013.3399999999</v>
      </c>
      <c r="D108" s="10">
        <v>1014.8</v>
      </c>
      <c r="E108" s="12">
        <f t="shared" si="1"/>
        <v>8180.9354946787544</v>
      </c>
    </row>
    <row r="109" spans="1:5" x14ac:dyDescent="0.35">
      <c r="A109" s="28" t="s">
        <v>266</v>
      </c>
      <c r="B109" s="9" t="s">
        <v>267</v>
      </c>
      <c r="C109" s="10">
        <v>28605893.780000001</v>
      </c>
      <c r="D109" s="10">
        <v>4311.3999999999996</v>
      </c>
      <c r="E109" s="12">
        <f t="shared" si="1"/>
        <v>6634.9431228835192</v>
      </c>
    </row>
    <row r="110" spans="1:5" x14ac:dyDescent="0.35">
      <c r="A110" s="28" t="s">
        <v>268</v>
      </c>
      <c r="B110" s="9" t="s">
        <v>269</v>
      </c>
      <c r="C110" s="10">
        <v>19486489.870000001</v>
      </c>
      <c r="D110" s="10">
        <v>2783.65</v>
      </c>
      <c r="E110" s="12">
        <f t="shared" si="1"/>
        <v>7000.337639430245</v>
      </c>
    </row>
    <row r="111" spans="1:5" x14ac:dyDescent="0.35">
      <c r="A111" s="28" t="s">
        <v>270</v>
      </c>
      <c r="B111" s="9" t="s">
        <v>271</v>
      </c>
      <c r="C111" s="10">
        <v>22676419.050000001</v>
      </c>
      <c r="D111" s="10">
        <v>3292.45</v>
      </c>
      <c r="E111" s="12">
        <f t="shared" si="1"/>
        <v>6887.3996719767956</v>
      </c>
    </row>
    <row r="112" spans="1:5" x14ac:dyDescent="0.35">
      <c r="A112" s="28" t="s">
        <v>272</v>
      </c>
      <c r="B112" s="9" t="s">
        <v>273</v>
      </c>
      <c r="C112" s="10">
        <v>10710816.5</v>
      </c>
      <c r="D112" s="10">
        <v>1504.1</v>
      </c>
      <c r="E112" s="12">
        <f t="shared" si="1"/>
        <v>7121.0800478691581</v>
      </c>
    </row>
    <row r="113" spans="1:5" x14ac:dyDescent="0.35">
      <c r="A113" s="28" t="s">
        <v>57</v>
      </c>
      <c r="B113" s="9" t="s">
        <v>58</v>
      </c>
      <c r="C113" s="10">
        <v>29333111.609999999</v>
      </c>
      <c r="D113" s="10">
        <v>4637</v>
      </c>
      <c r="E113" s="12">
        <f t="shared" si="1"/>
        <v>6325.8813047228814</v>
      </c>
    </row>
    <row r="114" spans="1:5" x14ac:dyDescent="0.35">
      <c r="A114" s="28" t="s">
        <v>131</v>
      </c>
      <c r="B114" s="9" t="s">
        <v>132</v>
      </c>
      <c r="C114" s="10">
        <v>9510822.4299999997</v>
      </c>
      <c r="D114" s="10">
        <v>1252.6500000000001</v>
      </c>
      <c r="E114" s="12">
        <f t="shared" si="1"/>
        <v>7592.5617131680829</v>
      </c>
    </row>
    <row r="115" spans="1:5" x14ac:dyDescent="0.35">
      <c r="A115" s="28" t="s">
        <v>159</v>
      </c>
      <c r="B115" s="9" t="s">
        <v>160</v>
      </c>
      <c r="C115" s="10">
        <v>27719535.43</v>
      </c>
      <c r="D115" s="10">
        <v>3966.9</v>
      </c>
      <c r="E115" s="12">
        <f t="shared" si="1"/>
        <v>6987.7071340341327</v>
      </c>
    </row>
    <row r="116" spans="1:5" x14ac:dyDescent="0.35">
      <c r="A116" s="28" t="s">
        <v>63</v>
      </c>
      <c r="B116" s="9" t="s">
        <v>64</v>
      </c>
      <c r="C116" s="10">
        <v>14818764.470000001</v>
      </c>
      <c r="D116" s="10">
        <v>2061.35</v>
      </c>
      <c r="E116" s="12">
        <f t="shared" si="1"/>
        <v>7188.8638368059774</v>
      </c>
    </row>
    <row r="117" spans="1:5" x14ac:dyDescent="0.35">
      <c r="A117" s="28" t="s">
        <v>274</v>
      </c>
      <c r="B117" s="9" t="s">
        <v>275</v>
      </c>
      <c r="C117" s="10">
        <v>28983536.670000002</v>
      </c>
      <c r="D117" s="10">
        <v>3961.55</v>
      </c>
      <c r="E117" s="12">
        <f t="shared" si="1"/>
        <v>7316.2112481225786</v>
      </c>
    </row>
    <row r="118" spans="1:5" x14ac:dyDescent="0.35">
      <c r="A118" s="28" t="s">
        <v>53</v>
      </c>
      <c r="B118" s="9" t="s">
        <v>54</v>
      </c>
      <c r="C118" s="10">
        <v>47914349.420000002</v>
      </c>
      <c r="D118" s="10">
        <v>6961.5</v>
      </c>
      <c r="E118" s="12">
        <f t="shared" si="1"/>
        <v>6882.7622523881346</v>
      </c>
    </row>
    <row r="119" spans="1:5" x14ac:dyDescent="0.35">
      <c r="A119" s="28" t="s">
        <v>97</v>
      </c>
      <c r="B119" s="9" t="s">
        <v>98</v>
      </c>
      <c r="C119" s="10">
        <v>7997206.46</v>
      </c>
      <c r="D119" s="10">
        <v>1106.0999999999999</v>
      </c>
      <c r="E119" s="12">
        <f t="shared" si="1"/>
        <v>7230.0935358466686</v>
      </c>
    </row>
    <row r="120" spans="1:5" x14ac:dyDescent="0.35">
      <c r="A120" s="28" t="s">
        <v>276</v>
      </c>
      <c r="B120" s="9" t="s">
        <v>277</v>
      </c>
      <c r="C120" s="10">
        <v>13154316.859999999</v>
      </c>
      <c r="D120" s="10">
        <v>1841.75</v>
      </c>
      <c r="E120" s="12">
        <f t="shared" si="1"/>
        <v>7142.2923089452961</v>
      </c>
    </row>
    <row r="121" spans="1:5" x14ac:dyDescent="0.35">
      <c r="A121" s="28" t="s">
        <v>278</v>
      </c>
      <c r="B121" s="9" t="s">
        <v>279</v>
      </c>
      <c r="C121" s="10">
        <v>21465280.559999999</v>
      </c>
      <c r="D121" s="10">
        <v>3107.7</v>
      </c>
      <c r="E121" s="12">
        <f t="shared" si="1"/>
        <v>6907.127637802877</v>
      </c>
    </row>
    <row r="122" spans="1:5" x14ac:dyDescent="0.35">
      <c r="A122" s="28" t="s">
        <v>280</v>
      </c>
      <c r="B122" s="9" t="s">
        <v>281</v>
      </c>
      <c r="C122" s="10">
        <v>9726312.5199999996</v>
      </c>
      <c r="D122" s="10">
        <v>1461</v>
      </c>
      <c r="E122" s="12">
        <f t="shared" si="1"/>
        <v>6657.2980971937022</v>
      </c>
    </row>
    <row r="123" spans="1:5" x14ac:dyDescent="0.35">
      <c r="A123" s="28" t="s">
        <v>49</v>
      </c>
      <c r="B123" s="9" t="s">
        <v>50</v>
      </c>
      <c r="C123" s="10">
        <v>17347383.030000001</v>
      </c>
      <c r="D123" s="10">
        <v>2405.1999999999998</v>
      </c>
      <c r="E123" s="12">
        <f t="shared" si="1"/>
        <v>7212.4492890404135</v>
      </c>
    </row>
    <row r="124" spans="1:5" x14ac:dyDescent="0.35">
      <c r="A124" s="28" t="s">
        <v>282</v>
      </c>
      <c r="B124" s="9" t="s">
        <v>283</v>
      </c>
      <c r="C124" s="10">
        <v>17941676.289999999</v>
      </c>
      <c r="D124" s="10">
        <v>2443.9</v>
      </c>
      <c r="E124" s="12">
        <f t="shared" si="1"/>
        <v>7341.4117967183593</v>
      </c>
    </row>
    <row r="125" spans="1:5" x14ac:dyDescent="0.35">
      <c r="A125" s="28" t="s">
        <v>21</v>
      </c>
      <c r="B125" s="9" t="s">
        <v>22</v>
      </c>
      <c r="C125" s="10">
        <v>21953395.809999999</v>
      </c>
      <c r="D125" s="10">
        <v>2907.15</v>
      </c>
      <c r="E125" s="12">
        <f t="shared" si="1"/>
        <v>7551.5180881619444</v>
      </c>
    </row>
    <row r="126" spans="1:5" x14ac:dyDescent="0.35">
      <c r="A126" s="28" t="s">
        <v>181</v>
      </c>
      <c r="B126" s="9" t="s">
        <v>182</v>
      </c>
      <c r="C126" s="10">
        <v>7789423.5300000003</v>
      </c>
      <c r="D126" s="10">
        <v>1010.2</v>
      </c>
      <c r="E126" s="12">
        <f t="shared" si="1"/>
        <v>7710.7736388833891</v>
      </c>
    </row>
    <row r="127" spans="1:5" x14ac:dyDescent="0.35">
      <c r="A127" s="28" t="s">
        <v>153</v>
      </c>
      <c r="B127" s="9" t="s">
        <v>154</v>
      </c>
      <c r="C127" s="10">
        <v>14537256.93</v>
      </c>
      <c r="D127" s="10">
        <v>2113.9499999999998</v>
      </c>
      <c r="E127" s="12">
        <f t="shared" si="1"/>
        <v>6876.8215568012492</v>
      </c>
    </row>
    <row r="128" spans="1:5" x14ac:dyDescent="0.35">
      <c r="A128" s="28" t="s">
        <v>11</v>
      </c>
      <c r="B128" s="9" t="s">
        <v>12</v>
      </c>
      <c r="C128" s="10">
        <v>15220701.060000001</v>
      </c>
      <c r="D128" s="10">
        <v>1975.05</v>
      </c>
      <c r="E128" s="12">
        <f t="shared" si="1"/>
        <v>7706.4889800258225</v>
      </c>
    </row>
    <row r="129" spans="1:5" x14ac:dyDescent="0.35">
      <c r="A129" s="28" t="s">
        <v>157</v>
      </c>
      <c r="B129" s="9" t="s">
        <v>158</v>
      </c>
      <c r="C129" s="10">
        <v>12068063.289999999</v>
      </c>
      <c r="D129" s="10">
        <v>1729.4</v>
      </c>
      <c r="E129" s="12">
        <f t="shared" si="1"/>
        <v>6978.179304961257</v>
      </c>
    </row>
    <row r="130" spans="1:5" x14ac:dyDescent="0.35">
      <c r="A130" s="28" t="s">
        <v>284</v>
      </c>
      <c r="B130" s="9" t="s">
        <v>285</v>
      </c>
      <c r="C130" s="10">
        <v>10092012.029999999</v>
      </c>
      <c r="D130" s="10">
        <v>1498.3</v>
      </c>
      <c r="E130" s="12">
        <f t="shared" si="1"/>
        <v>6735.6417473136216</v>
      </c>
    </row>
    <row r="131" spans="1:5" x14ac:dyDescent="0.35">
      <c r="A131" s="28" t="s">
        <v>286</v>
      </c>
      <c r="B131" s="9" t="s">
        <v>287</v>
      </c>
      <c r="C131" s="10">
        <v>8192396.0099999998</v>
      </c>
      <c r="D131" s="10">
        <v>1182.9000000000001</v>
      </c>
      <c r="E131" s="12">
        <f t="shared" ref="E131:E140" si="2">C131/D131</f>
        <v>6925.6877250824236</v>
      </c>
    </row>
    <row r="132" spans="1:5" x14ac:dyDescent="0.35">
      <c r="A132" s="28" t="s">
        <v>67</v>
      </c>
      <c r="B132" s="9" t="s">
        <v>68</v>
      </c>
      <c r="C132" s="10">
        <v>8295384.5199999996</v>
      </c>
      <c r="D132" s="10">
        <v>1116.55</v>
      </c>
      <c r="E132" s="12">
        <f t="shared" si="2"/>
        <v>7429.4787694236711</v>
      </c>
    </row>
    <row r="133" spans="1:5" x14ac:dyDescent="0.35">
      <c r="A133" s="28" t="s">
        <v>79</v>
      </c>
      <c r="B133" s="9" t="s">
        <v>80</v>
      </c>
      <c r="C133" s="10">
        <v>12516142.74</v>
      </c>
      <c r="D133" s="10">
        <v>1819.95</v>
      </c>
      <c r="E133" s="12">
        <f t="shared" si="2"/>
        <v>6877.1904392977831</v>
      </c>
    </row>
    <row r="134" spans="1:5" x14ac:dyDescent="0.35">
      <c r="A134" s="28" t="s">
        <v>288</v>
      </c>
      <c r="B134" s="9" t="s">
        <v>289</v>
      </c>
      <c r="C134" s="10">
        <v>71225971.730000004</v>
      </c>
      <c r="D134" s="10">
        <v>10120.15</v>
      </c>
      <c r="E134" s="12">
        <f t="shared" si="2"/>
        <v>7038.0351803085932</v>
      </c>
    </row>
    <row r="135" spans="1:5" x14ac:dyDescent="0.35">
      <c r="A135" s="28" t="s">
        <v>161</v>
      </c>
      <c r="B135" s="9" t="s">
        <v>162</v>
      </c>
      <c r="C135" s="10">
        <v>9930005.9700000007</v>
      </c>
      <c r="D135" s="10">
        <v>1456.45</v>
      </c>
      <c r="E135" s="12">
        <f t="shared" si="2"/>
        <v>6817.951848673144</v>
      </c>
    </row>
    <row r="136" spans="1:5" x14ac:dyDescent="0.35">
      <c r="A136" s="28" t="s">
        <v>290</v>
      </c>
      <c r="B136" s="9" t="s">
        <v>291</v>
      </c>
      <c r="C136" s="10">
        <v>74916274.590000004</v>
      </c>
      <c r="D136" s="10">
        <v>7140.05</v>
      </c>
      <c r="E136" s="12">
        <f t="shared" si="2"/>
        <v>10492.401956568932</v>
      </c>
    </row>
    <row r="137" spans="1:5" x14ac:dyDescent="0.35">
      <c r="A137" s="28" t="s">
        <v>292</v>
      </c>
      <c r="B137" s="9" t="s">
        <v>293</v>
      </c>
      <c r="C137" s="10">
        <v>9083033.4900000002</v>
      </c>
      <c r="D137" s="10">
        <v>1258.2</v>
      </c>
      <c r="E137" s="12">
        <f t="shared" si="2"/>
        <v>7219.0696948020977</v>
      </c>
    </row>
    <row r="138" spans="1:5" x14ac:dyDescent="0.35">
      <c r="A138" s="28" t="s">
        <v>294</v>
      </c>
      <c r="B138" s="9" t="s">
        <v>295</v>
      </c>
      <c r="C138" s="10">
        <v>31176846.93</v>
      </c>
      <c r="D138" s="10">
        <v>4678.2</v>
      </c>
      <c r="E138" s="12">
        <f t="shared" si="2"/>
        <v>6664.2826151083755</v>
      </c>
    </row>
    <row r="139" spans="1:5" x14ac:dyDescent="0.35">
      <c r="A139" s="28" t="s">
        <v>129</v>
      </c>
      <c r="B139" s="9" t="s">
        <v>296</v>
      </c>
      <c r="C139" s="10">
        <v>1703944.95</v>
      </c>
      <c r="D139" s="10">
        <v>295.3</v>
      </c>
      <c r="E139" s="12">
        <f t="shared" si="2"/>
        <v>5770.2165594310864</v>
      </c>
    </row>
    <row r="140" spans="1:5" x14ac:dyDescent="0.35">
      <c r="A140" s="28" t="s">
        <v>171</v>
      </c>
      <c r="B140" s="9" t="s">
        <v>313</v>
      </c>
      <c r="C140" s="10">
        <v>2256918.4700000002</v>
      </c>
      <c r="D140" s="10">
        <v>257.05</v>
      </c>
      <c r="E140" s="12">
        <f t="shared" si="2"/>
        <v>8780.0757440186735</v>
      </c>
    </row>
    <row r="141" spans="1:5" x14ac:dyDescent="0.35">
      <c r="C141" s="2"/>
      <c r="D141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93CB-3822-4BDD-8850-465684137695}">
  <dimension ref="A1:E950"/>
  <sheetViews>
    <sheetView tabSelected="1" workbookViewId="0"/>
  </sheetViews>
  <sheetFormatPr defaultRowHeight="14.5" x14ac:dyDescent="0.35"/>
  <cols>
    <col min="1" max="1" width="8.26953125" bestFit="1" customWidth="1"/>
    <col min="2" max="2" width="36.453125" bestFit="1" customWidth="1"/>
    <col min="3" max="3" width="13.1796875" bestFit="1" customWidth="1"/>
    <col min="4" max="4" width="42.54296875" bestFit="1" customWidth="1"/>
    <col min="5" max="5" width="18.81640625" bestFit="1" customWidth="1"/>
  </cols>
  <sheetData>
    <row r="1" spans="1:5" s="1" customFormat="1" ht="29" x14ac:dyDescent="0.35">
      <c r="A1" s="14" t="s">
        <v>314</v>
      </c>
      <c r="B1" s="7" t="s">
        <v>6</v>
      </c>
      <c r="C1" s="14" t="s">
        <v>315</v>
      </c>
      <c r="D1" s="6" t="s">
        <v>316</v>
      </c>
      <c r="E1" s="16" t="s">
        <v>317</v>
      </c>
    </row>
    <row r="2" spans="1:5" x14ac:dyDescent="0.35">
      <c r="A2" s="29" t="s">
        <v>188</v>
      </c>
      <c r="B2" s="25" t="str">
        <f t="shared" ref="B2:B8" si="0">"Autauga County"</f>
        <v>Autauga County</v>
      </c>
      <c r="C2" s="25" t="s">
        <v>318</v>
      </c>
      <c r="D2" s="25" t="str">
        <f>"Autaugaville School"</f>
        <v>Autaugaville School</v>
      </c>
      <c r="E2" s="25" t="str">
        <f t="shared" ref="E2:E10" si="1">"Schoolwide"</f>
        <v>Schoolwide</v>
      </c>
    </row>
    <row r="3" spans="1:5" x14ac:dyDescent="0.35">
      <c r="A3" s="29" t="s">
        <v>188</v>
      </c>
      <c r="B3" s="25" t="str">
        <f t="shared" si="0"/>
        <v>Autauga County</v>
      </c>
      <c r="C3" s="25" t="s">
        <v>319</v>
      </c>
      <c r="D3" s="25" t="str">
        <f>"Billingsley High School"</f>
        <v>Billingsley High School</v>
      </c>
      <c r="E3" s="25" t="str">
        <f t="shared" si="1"/>
        <v>Schoolwide</v>
      </c>
    </row>
    <row r="4" spans="1:5" x14ac:dyDescent="0.35">
      <c r="A4" s="29" t="s">
        <v>188</v>
      </c>
      <c r="B4" s="25" t="str">
        <f t="shared" si="0"/>
        <v>Autauga County</v>
      </c>
      <c r="C4" s="25" t="s">
        <v>320</v>
      </c>
      <c r="D4" s="25" t="str">
        <f>"Pine Level Elementary School"</f>
        <v>Pine Level Elementary School</v>
      </c>
      <c r="E4" s="25" t="str">
        <f t="shared" si="1"/>
        <v>Schoolwide</v>
      </c>
    </row>
    <row r="5" spans="1:5" x14ac:dyDescent="0.35">
      <c r="A5" s="29" t="s">
        <v>188</v>
      </c>
      <c r="B5" s="25" t="str">
        <f t="shared" si="0"/>
        <v>Autauga County</v>
      </c>
      <c r="C5" s="25" t="s">
        <v>321</v>
      </c>
      <c r="D5" s="25" t="str">
        <f>"Prattville Elementary School"</f>
        <v>Prattville Elementary School</v>
      </c>
      <c r="E5" s="25" t="str">
        <f t="shared" si="1"/>
        <v>Schoolwide</v>
      </c>
    </row>
    <row r="6" spans="1:5" x14ac:dyDescent="0.35">
      <c r="A6" s="29" t="s">
        <v>188</v>
      </c>
      <c r="B6" s="25" t="str">
        <f t="shared" si="0"/>
        <v>Autauga County</v>
      </c>
      <c r="C6" s="25" t="s">
        <v>322</v>
      </c>
      <c r="D6" s="25" t="str">
        <f>"Prattville Intermediate School"</f>
        <v>Prattville Intermediate School</v>
      </c>
      <c r="E6" s="25" t="str">
        <f t="shared" si="1"/>
        <v>Schoolwide</v>
      </c>
    </row>
    <row r="7" spans="1:5" x14ac:dyDescent="0.35">
      <c r="A7" s="29" t="s">
        <v>188</v>
      </c>
      <c r="B7" s="25" t="str">
        <f t="shared" si="0"/>
        <v>Autauga County</v>
      </c>
      <c r="C7" s="25" t="s">
        <v>323</v>
      </c>
      <c r="D7" s="25" t="str">
        <f>"Prattville Kindergarten School"</f>
        <v>Prattville Kindergarten School</v>
      </c>
      <c r="E7" s="25" t="str">
        <f t="shared" si="1"/>
        <v>Schoolwide</v>
      </c>
    </row>
    <row r="8" spans="1:5" x14ac:dyDescent="0.35">
      <c r="A8" s="29" t="s">
        <v>188</v>
      </c>
      <c r="B8" s="25" t="str">
        <f t="shared" si="0"/>
        <v>Autauga County</v>
      </c>
      <c r="C8" s="25" t="s">
        <v>324</v>
      </c>
      <c r="D8" s="25" t="str">
        <f>"Prattville Primary School"</f>
        <v>Prattville Primary School</v>
      </c>
      <c r="E8" s="25" t="str">
        <f t="shared" si="1"/>
        <v>Schoolwide</v>
      </c>
    </row>
    <row r="9" spans="1:5" x14ac:dyDescent="0.35">
      <c r="A9" s="29" t="s">
        <v>190</v>
      </c>
      <c r="B9" s="25" t="str">
        <f t="shared" ref="B9:B10" si="2">"Baldwin County"</f>
        <v>Baldwin County</v>
      </c>
      <c r="C9" s="25" t="s">
        <v>325</v>
      </c>
      <c r="D9" s="25" t="str">
        <f>"Bay Minette Elementary School"</f>
        <v>Bay Minette Elementary School</v>
      </c>
      <c r="E9" s="25" t="str">
        <f t="shared" si="1"/>
        <v>Schoolwide</v>
      </c>
    </row>
    <row r="10" spans="1:5" x14ac:dyDescent="0.35">
      <c r="A10" s="29" t="s">
        <v>190</v>
      </c>
      <c r="B10" s="25" t="str">
        <f t="shared" si="2"/>
        <v>Baldwin County</v>
      </c>
      <c r="C10" s="25" t="s">
        <v>326</v>
      </c>
      <c r="D10" s="25" t="str">
        <f>"Bay Minette Middle School"</f>
        <v>Bay Minette Middle School</v>
      </c>
      <c r="E10" s="25" t="str">
        <f t="shared" si="1"/>
        <v>Schoolwide</v>
      </c>
    </row>
    <row r="11" spans="1:5" x14ac:dyDescent="0.35">
      <c r="A11" s="29" t="s">
        <v>190</v>
      </c>
      <c r="B11" s="25" t="str">
        <f t="shared" ref="B11:B32" si="3">"Baldwin County"</f>
        <v>Baldwin County</v>
      </c>
      <c r="C11" s="25" t="s">
        <v>327</v>
      </c>
      <c r="D11" s="25" t="str">
        <f>"Central Baldwin Middle School"</f>
        <v>Central Baldwin Middle School</v>
      </c>
      <c r="E11" s="25" t="str">
        <f>"Schoolwide"</f>
        <v>Schoolwide</v>
      </c>
    </row>
    <row r="12" spans="1:5" x14ac:dyDescent="0.35">
      <c r="A12" s="29" t="s">
        <v>190</v>
      </c>
      <c r="B12" s="25" t="str">
        <f t="shared" si="3"/>
        <v>Baldwin County</v>
      </c>
      <c r="C12" s="25" t="s">
        <v>328</v>
      </c>
      <c r="D12" s="25" t="str">
        <f>"Daphne Middle School"</f>
        <v>Daphne Middle School</v>
      </c>
      <c r="E12" s="25" t="str">
        <f>"Targeted Assistance"</f>
        <v>Targeted Assistance</v>
      </c>
    </row>
    <row r="13" spans="1:5" x14ac:dyDescent="0.35">
      <c r="A13" s="29" t="s">
        <v>190</v>
      </c>
      <c r="B13" s="25" t="str">
        <f t="shared" si="3"/>
        <v>Baldwin County</v>
      </c>
      <c r="C13" s="25" t="s">
        <v>329</v>
      </c>
      <c r="D13" s="25" t="str">
        <f>"W J Carroll Intermediate School"</f>
        <v>W J Carroll Intermediate School</v>
      </c>
      <c r="E13" s="25" t="str">
        <f t="shared" ref="E13:E32" si="4">"Schoolwide"</f>
        <v>Schoolwide</v>
      </c>
    </row>
    <row r="14" spans="1:5" x14ac:dyDescent="0.35">
      <c r="A14" s="29" t="s">
        <v>190</v>
      </c>
      <c r="B14" s="25" t="str">
        <f t="shared" si="3"/>
        <v>Baldwin County</v>
      </c>
      <c r="C14" s="25" t="s">
        <v>330</v>
      </c>
      <c r="D14" s="25" t="str">
        <f>"Daphne Elementary School"</f>
        <v>Daphne Elementary School</v>
      </c>
      <c r="E14" s="25" t="str">
        <f t="shared" si="4"/>
        <v>Schoolwide</v>
      </c>
    </row>
    <row r="15" spans="1:5" x14ac:dyDescent="0.35">
      <c r="A15" s="29" t="s">
        <v>190</v>
      </c>
      <c r="B15" s="25" t="str">
        <f t="shared" si="3"/>
        <v>Baldwin County</v>
      </c>
      <c r="C15" s="25" t="s">
        <v>331</v>
      </c>
      <c r="D15" s="25" t="str">
        <f>"Delta Elementary School"</f>
        <v>Delta Elementary School</v>
      </c>
      <c r="E15" s="25" t="str">
        <f t="shared" si="4"/>
        <v>Schoolwide</v>
      </c>
    </row>
    <row r="16" spans="1:5" x14ac:dyDescent="0.35">
      <c r="A16" s="29" t="s">
        <v>190</v>
      </c>
      <c r="B16" s="25" t="str">
        <f t="shared" si="3"/>
        <v>Baldwin County</v>
      </c>
      <c r="C16" s="25" t="s">
        <v>332</v>
      </c>
      <c r="D16" s="25" t="str">
        <f>"Elberta Elementary School"</f>
        <v>Elberta Elementary School</v>
      </c>
      <c r="E16" s="25" t="str">
        <f t="shared" si="4"/>
        <v>Schoolwide</v>
      </c>
    </row>
    <row r="17" spans="1:5" x14ac:dyDescent="0.35">
      <c r="A17" s="29" t="s">
        <v>190</v>
      </c>
      <c r="B17" s="25" t="str">
        <f t="shared" si="3"/>
        <v>Baldwin County</v>
      </c>
      <c r="C17" s="25" t="s">
        <v>333</v>
      </c>
      <c r="D17" s="25" t="str">
        <f>"Elberta Middle School"</f>
        <v>Elberta Middle School</v>
      </c>
      <c r="E17" s="25" t="str">
        <f t="shared" si="4"/>
        <v>Schoolwide</v>
      </c>
    </row>
    <row r="18" spans="1:5" x14ac:dyDescent="0.35">
      <c r="A18" s="29" t="s">
        <v>190</v>
      </c>
      <c r="B18" s="25" t="str">
        <f t="shared" si="3"/>
        <v>Baldwin County</v>
      </c>
      <c r="C18" s="25" t="s">
        <v>334</v>
      </c>
      <c r="D18" s="25" t="str">
        <f>"Elsanor School"</f>
        <v>Elsanor School</v>
      </c>
      <c r="E18" s="25" t="str">
        <f t="shared" si="4"/>
        <v>Schoolwide</v>
      </c>
    </row>
    <row r="19" spans="1:5" x14ac:dyDescent="0.35">
      <c r="A19" s="29" t="s">
        <v>190</v>
      </c>
      <c r="B19" s="25" t="str">
        <f t="shared" si="3"/>
        <v>Baldwin County</v>
      </c>
      <c r="C19" s="25" t="s">
        <v>335</v>
      </c>
      <c r="D19" s="25" t="str">
        <f>"Foley Elementary School"</f>
        <v>Foley Elementary School</v>
      </c>
      <c r="E19" s="25" t="str">
        <f t="shared" si="4"/>
        <v>Schoolwide</v>
      </c>
    </row>
    <row r="20" spans="1:5" x14ac:dyDescent="0.35">
      <c r="A20" s="29" t="s">
        <v>190</v>
      </c>
      <c r="B20" s="25" t="str">
        <f t="shared" si="3"/>
        <v>Baldwin County</v>
      </c>
      <c r="C20" s="25" t="s">
        <v>336</v>
      </c>
      <c r="D20" s="25" t="str">
        <f>"Foley Middle School"</f>
        <v>Foley Middle School</v>
      </c>
      <c r="E20" s="25" t="str">
        <f t="shared" si="4"/>
        <v>Schoolwide</v>
      </c>
    </row>
    <row r="21" spans="1:5" x14ac:dyDescent="0.35">
      <c r="A21" s="29" t="s">
        <v>190</v>
      </c>
      <c r="B21" s="25" t="str">
        <f t="shared" si="3"/>
        <v>Baldwin County</v>
      </c>
      <c r="C21" s="25" t="s">
        <v>337</v>
      </c>
      <c r="D21" s="25" t="str">
        <f>"Florence B Mathis Elementary"</f>
        <v>Florence B Mathis Elementary</v>
      </c>
      <c r="E21" s="25" t="str">
        <f t="shared" si="4"/>
        <v>Schoolwide</v>
      </c>
    </row>
    <row r="22" spans="1:5" x14ac:dyDescent="0.35">
      <c r="A22" s="29" t="s">
        <v>190</v>
      </c>
      <c r="B22" s="25" t="str">
        <f t="shared" si="3"/>
        <v>Baldwin County</v>
      </c>
      <c r="C22" s="25" t="s">
        <v>338</v>
      </c>
      <c r="D22" s="25" t="str">
        <f>"Loxley Elementary School"</f>
        <v>Loxley Elementary School</v>
      </c>
      <c r="E22" s="25" t="str">
        <f t="shared" si="4"/>
        <v>Schoolwide</v>
      </c>
    </row>
    <row r="23" spans="1:5" x14ac:dyDescent="0.35">
      <c r="A23" s="29" t="s">
        <v>190</v>
      </c>
      <c r="B23" s="25" t="str">
        <f t="shared" si="3"/>
        <v>Baldwin County</v>
      </c>
      <c r="C23" s="25" t="s">
        <v>339</v>
      </c>
      <c r="D23" s="25" t="str">
        <f>"Magnolia School"</f>
        <v>Magnolia School</v>
      </c>
      <c r="E23" s="25" t="str">
        <f t="shared" si="4"/>
        <v>Schoolwide</v>
      </c>
    </row>
    <row r="24" spans="1:5" x14ac:dyDescent="0.35">
      <c r="A24" s="29" t="s">
        <v>190</v>
      </c>
      <c r="B24" s="25" t="str">
        <f t="shared" si="3"/>
        <v>Baldwin County</v>
      </c>
      <c r="C24" s="25" t="s">
        <v>340</v>
      </c>
      <c r="D24" s="25" t="str">
        <f>"Perdido Elementary School"</f>
        <v>Perdido Elementary School</v>
      </c>
      <c r="E24" s="25" t="str">
        <f t="shared" si="4"/>
        <v>Schoolwide</v>
      </c>
    </row>
    <row r="25" spans="1:5" x14ac:dyDescent="0.35">
      <c r="A25" s="29" t="s">
        <v>190</v>
      </c>
      <c r="B25" s="25" t="str">
        <f t="shared" si="3"/>
        <v>Baldwin County</v>
      </c>
      <c r="C25" s="25" t="s">
        <v>341</v>
      </c>
      <c r="D25" s="25" t="str">
        <f>"Pine Grove Elementary School"</f>
        <v>Pine Grove Elementary School</v>
      </c>
      <c r="E25" s="25" t="str">
        <f t="shared" si="4"/>
        <v>Schoolwide</v>
      </c>
    </row>
    <row r="26" spans="1:5" x14ac:dyDescent="0.35">
      <c r="A26" s="29" t="s">
        <v>190</v>
      </c>
      <c r="B26" s="25" t="str">
        <f t="shared" si="3"/>
        <v>Baldwin County</v>
      </c>
      <c r="C26" s="25" t="s">
        <v>342</v>
      </c>
      <c r="D26" s="25" t="str">
        <f>"Robertsdale Elementary School"</f>
        <v>Robertsdale Elementary School</v>
      </c>
      <c r="E26" s="25" t="str">
        <f t="shared" si="4"/>
        <v>Schoolwide</v>
      </c>
    </row>
    <row r="27" spans="1:5" x14ac:dyDescent="0.35">
      <c r="A27" s="29" t="s">
        <v>190</v>
      </c>
      <c r="B27" s="25" t="str">
        <f t="shared" si="3"/>
        <v>Baldwin County</v>
      </c>
      <c r="C27" s="25" t="s">
        <v>343</v>
      </c>
      <c r="D27" s="25" t="str">
        <f>"Rosinton School"</f>
        <v>Rosinton School</v>
      </c>
      <c r="E27" s="25" t="str">
        <f t="shared" si="4"/>
        <v>Schoolwide</v>
      </c>
    </row>
    <row r="28" spans="1:5" x14ac:dyDescent="0.35">
      <c r="A28" s="29" t="s">
        <v>190</v>
      </c>
      <c r="B28" s="25" t="str">
        <f t="shared" si="3"/>
        <v>Baldwin County</v>
      </c>
      <c r="C28" s="25" t="s">
        <v>344</v>
      </c>
      <c r="D28" s="25" t="str">
        <f>"Silverhill School"</f>
        <v>Silverhill School</v>
      </c>
      <c r="E28" s="25" t="str">
        <f t="shared" si="4"/>
        <v>Schoolwide</v>
      </c>
    </row>
    <row r="29" spans="1:5" x14ac:dyDescent="0.35">
      <c r="A29" s="29" t="s">
        <v>190</v>
      </c>
      <c r="B29" s="25" t="str">
        <f t="shared" si="3"/>
        <v>Baldwin County</v>
      </c>
      <c r="C29" s="25" t="s">
        <v>345</v>
      </c>
      <c r="D29" s="25" t="str">
        <f>"J Larry Newton School"</f>
        <v>J Larry Newton School</v>
      </c>
      <c r="E29" s="25" t="str">
        <f t="shared" si="4"/>
        <v>Schoolwide</v>
      </c>
    </row>
    <row r="30" spans="1:5" x14ac:dyDescent="0.35">
      <c r="A30" s="29" t="s">
        <v>190</v>
      </c>
      <c r="B30" s="25" t="str">
        <f t="shared" si="3"/>
        <v>Baldwin County</v>
      </c>
      <c r="C30" s="25" t="s">
        <v>346</v>
      </c>
      <c r="D30" s="25" t="str">
        <f>"Stapleton School"</f>
        <v>Stapleton School</v>
      </c>
      <c r="E30" s="25" t="str">
        <f t="shared" si="4"/>
        <v>Schoolwide</v>
      </c>
    </row>
    <row r="31" spans="1:5" x14ac:dyDescent="0.35">
      <c r="A31" s="29" t="s">
        <v>190</v>
      </c>
      <c r="B31" s="25" t="str">
        <f t="shared" si="3"/>
        <v>Baldwin County</v>
      </c>
      <c r="C31" s="25" t="s">
        <v>347</v>
      </c>
      <c r="D31" s="25" t="str">
        <f>"Summerdale School"</f>
        <v>Summerdale School</v>
      </c>
      <c r="E31" s="25" t="str">
        <f t="shared" si="4"/>
        <v>Schoolwide</v>
      </c>
    </row>
    <row r="32" spans="1:5" x14ac:dyDescent="0.35">
      <c r="A32" s="29" t="s">
        <v>190</v>
      </c>
      <c r="B32" s="25" t="str">
        <f t="shared" si="3"/>
        <v>Baldwin County</v>
      </c>
      <c r="C32" s="25" t="s">
        <v>348</v>
      </c>
      <c r="D32" s="25" t="str">
        <f>"Swift Elementary School"</f>
        <v>Swift Elementary School</v>
      </c>
      <c r="E32" s="25" t="str">
        <f t="shared" si="4"/>
        <v>Schoolwide</v>
      </c>
    </row>
    <row r="33" spans="1:5" x14ac:dyDescent="0.35">
      <c r="A33" s="29" t="s">
        <v>61</v>
      </c>
      <c r="B33" s="25" t="str">
        <f>"Barbour County"</f>
        <v>Barbour County</v>
      </c>
      <c r="C33" s="25" t="s">
        <v>349</v>
      </c>
      <c r="D33" s="25" t="str">
        <f>"Barbour County High School"</f>
        <v>Barbour County High School</v>
      </c>
      <c r="E33" s="25" t="str">
        <f t="shared" ref="E33:E43" si="5">"Schoolwide"</f>
        <v>Schoolwide</v>
      </c>
    </row>
    <row r="34" spans="1:5" x14ac:dyDescent="0.35">
      <c r="A34" s="29" t="s">
        <v>61</v>
      </c>
      <c r="B34" s="25" t="str">
        <f>"Barbour County"</f>
        <v>Barbour County</v>
      </c>
      <c r="C34" s="25" t="s">
        <v>350</v>
      </c>
      <c r="D34" s="25" t="str">
        <f>"Barbour County Intermediate School"</f>
        <v>Barbour County Intermediate School</v>
      </c>
      <c r="E34" s="25" t="str">
        <f t="shared" si="5"/>
        <v>Schoolwide</v>
      </c>
    </row>
    <row r="35" spans="1:5" x14ac:dyDescent="0.35">
      <c r="A35" s="29" t="s">
        <v>61</v>
      </c>
      <c r="B35" s="25" t="str">
        <f>"Barbour County"</f>
        <v>Barbour County</v>
      </c>
      <c r="C35" s="25" t="s">
        <v>351</v>
      </c>
      <c r="D35" s="25" t="str">
        <f>"Barbour County Primary School"</f>
        <v>Barbour County Primary School</v>
      </c>
      <c r="E35" s="25" t="str">
        <f t="shared" si="5"/>
        <v>Schoolwide</v>
      </c>
    </row>
    <row r="36" spans="1:5" x14ac:dyDescent="0.35">
      <c r="A36" s="29" t="s">
        <v>109</v>
      </c>
      <c r="B36" s="25" t="str">
        <f t="shared" ref="B36:B43" si="6">"Bibb County"</f>
        <v>Bibb County</v>
      </c>
      <c r="C36" s="25" t="s">
        <v>352</v>
      </c>
      <c r="D36" s="25" t="str">
        <f>"Bibb County High School"</f>
        <v>Bibb County High School</v>
      </c>
      <c r="E36" s="25" t="str">
        <f t="shared" si="5"/>
        <v>Schoolwide</v>
      </c>
    </row>
    <row r="37" spans="1:5" x14ac:dyDescent="0.35">
      <c r="A37" s="29" t="s">
        <v>109</v>
      </c>
      <c r="B37" s="25" t="str">
        <f t="shared" si="6"/>
        <v>Bibb County</v>
      </c>
      <c r="C37" s="25" t="s">
        <v>353</v>
      </c>
      <c r="D37" s="25" t="str">
        <f>"Brent Elementary School"</f>
        <v>Brent Elementary School</v>
      </c>
      <c r="E37" s="25" t="str">
        <f t="shared" si="5"/>
        <v>Schoolwide</v>
      </c>
    </row>
    <row r="38" spans="1:5" x14ac:dyDescent="0.35">
      <c r="A38" s="29" t="s">
        <v>109</v>
      </c>
      <c r="B38" s="25" t="str">
        <f t="shared" si="6"/>
        <v>Bibb County</v>
      </c>
      <c r="C38" s="25" t="s">
        <v>354</v>
      </c>
      <c r="D38" s="25" t="str">
        <f>"Centreville Middle School"</f>
        <v>Centreville Middle School</v>
      </c>
      <c r="E38" s="25" t="str">
        <f t="shared" si="5"/>
        <v>Schoolwide</v>
      </c>
    </row>
    <row r="39" spans="1:5" x14ac:dyDescent="0.35">
      <c r="A39" s="29" t="s">
        <v>109</v>
      </c>
      <c r="B39" s="25" t="str">
        <f t="shared" si="6"/>
        <v>Bibb County</v>
      </c>
      <c r="C39" s="25" t="s">
        <v>355</v>
      </c>
      <c r="D39" s="25" t="str">
        <f>"Randolph Elementary School"</f>
        <v>Randolph Elementary School</v>
      </c>
      <c r="E39" s="25" t="str">
        <f t="shared" si="5"/>
        <v>Schoolwide</v>
      </c>
    </row>
    <row r="40" spans="1:5" x14ac:dyDescent="0.35">
      <c r="A40" s="29" t="s">
        <v>109</v>
      </c>
      <c r="B40" s="25" t="str">
        <f t="shared" si="6"/>
        <v>Bibb County</v>
      </c>
      <c r="C40" s="25" t="s">
        <v>356</v>
      </c>
      <c r="D40" s="25" t="str">
        <f>"West Blocton Elementary School"</f>
        <v>West Blocton Elementary School</v>
      </c>
      <c r="E40" s="25" t="str">
        <f t="shared" si="5"/>
        <v>Schoolwide</v>
      </c>
    </row>
    <row r="41" spans="1:5" x14ac:dyDescent="0.35">
      <c r="A41" s="29" t="s">
        <v>109</v>
      </c>
      <c r="B41" s="25" t="str">
        <f t="shared" si="6"/>
        <v>Bibb County</v>
      </c>
      <c r="C41" s="25" t="s">
        <v>357</v>
      </c>
      <c r="D41" s="25" t="str">
        <f>"West Blocton High School"</f>
        <v>West Blocton High School</v>
      </c>
      <c r="E41" s="25" t="str">
        <f t="shared" si="5"/>
        <v>Schoolwide</v>
      </c>
    </row>
    <row r="42" spans="1:5" x14ac:dyDescent="0.35">
      <c r="A42" s="29" t="s">
        <v>109</v>
      </c>
      <c r="B42" s="25" t="str">
        <f t="shared" si="6"/>
        <v>Bibb County</v>
      </c>
      <c r="C42" s="25" t="s">
        <v>358</v>
      </c>
      <c r="D42" s="25" t="str">
        <f>"West Blocton Middle School"</f>
        <v>West Blocton Middle School</v>
      </c>
      <c r="E42" s="25" t="str">
        <f t="shared" si="5"/>
        <v>Schoolwide</v>
      </c>
    </row>
    <row r="43" spans="1:5" x14ac:dyDescent="0.35">
      <c r="A43" s="29" t="s">
        <v>109</v>
      </c>
      <c r="B43" s="25" t="str">
        <f t="shared" si="6"/>
        <v>Bibb County</v>
      </c>
      <c r="C43" s="25" t="s">
        <v>359</v>
      </c>
      <c r="D43" s="25" t="str">
        <f>"Woodstock Elementary School"</f>
        <v>Woodstock Elementary School</v>
      </c>
      <c r="E43" s="25" t="str">
        <f t="shared" si="5"/>
        <v>Schoolwide</v>
      </c>
    </row>
    <row r="44" spans="1:5" x14ac:dyDescent="0.35">
      <c r="A44" s="29" t="s">
        <v>155</v>
      </c>
      <c r="B44" s="25" t="str">
        <f t="shared" ref="B44:B56" si="7">"Blount County"</f>
        <v>Blount County</v>
      </c>
      <c r="C44" s="25" t="s">
        <v>360</v>
      </c>
      <c r="D44" s="25" t="str">
        <f>"Appalachian  School"</f>
        <v>Appalachian  School</v>
      </c>
      <c r="E44" s="25" t="str">
        <f t="shared" ref="E44:E75" si="8">"Schoolwide"</f>
        <v>Schoolwide</v>
      </c>
    </row>
    <row r="45" spans="1:5" x14ac:dyDescent="0.35">
      <c r="A45" s="29" t="s">
        <v>155</v>
      </c>
      <c r="B45" s="25" t="str">
        <f t="shared" si="7"/>
        <v>Blount County</v>
      </c>
      <c r="C45" s="25" t="s">
        <v>361</v>
      </c>
      <c r="D45" s="25" t="str">
        <f>"Blountsville Elementary School"</f>
        <v>Blountsville Elementary School</v>
      </c>
      <c r="E45" s="25" t="str">
        <f t="shared" si="8"/>
        <v>Schoolwide</v>
      </c>
    </row>
    <row r="46" spans="1:5" x14ac:dyDescent="0.35">
      <c r="A46" s="29" t="s">
        <v>155</v>
      </c>
      <c r="B46" s="25" t="str">
        <f t="shared" si="7"/>
        <v>Blount County</v>
      </c>
      <c r="C46" s="25" t="s">
        <v>362</v>
      </c>
      <c r="D46" s="25" t="str">
        <f>"Cleveland High School"</f>
        <v>Cleveland High School</v>
      </c>
      <c r="E46" s="25" t="str">
        <f t="shared" si="8"/>
        <v>Schoolwide</v>
      </c>
    </row>
    <row r="47" spans="1:5" x14ac:dyDescent="0.35">
      <c r="A47" s="29" t="s">
        <v>155</v>
      </c>
      <c r="B47" s="25" t="str">
        <f t="shared" si="7"/>
        <v>Blount County</v>
      </c>
      <c r="C47" s="25" t="s">
        <v>363</v>
      </c>
      <c r="D47" s="25" t="str">
        <f>"Cleveland Elementary School"</f>
        <v>Cleveland Elementary School</v>
      </c>
      <c r="E47" s="25" t="str">
        <f t="shared" si="8"/>
        <v>Schoolwide</v>
      </c>
    </row>
    <row r="48" spans="1:5" x14ac:dyDescent="0.35">
      <c r="A48" s="29" t="s">
        <v>155</v>
      </c>
      <c r="B48" s="25" t="str">
        <f t="shared" si="7"/>
        <v>Blount County</v>
      </c>
      <c r="C48" s="25" t="s">
        <v>364</v>
      </c>
      <c r="D48" s="25" t="str">
        <f>"Hayden Primary School"</f>
        <v>Hayden Primary School</v>
      </c>
      <c r="E48" s="25" t="str">
        <f t="shared" si="8"/>
        <v>Schoolwide</v>
      </c>
    </row>
    <row r="49" spans="1:5" x14ac:dyDescent="0.35">
      <c r="A49" s="29" t="s">
        <v>155</v>
      </c>
      <c r="B49" s="25" t="str">
        <f t="shared" si="7"/>
        <v>Blount County</v>
      </c>
      <c r="C49" s="25" t="s">
        <v>365</v>
      </c>
      <c r="D49" s="25" t="str">
        <f>"Hayden Elementary School"</f>
        <v>Hayden Elementary School</v>
      </c>
      <c r="E49" s="25" t="str">
        <f t="shared" si="8"/>
        <v>Schoolwide</v>
      </c>
    </row>
    <row r="50" spans="1:5" x14ac:dyDescent="0.35">
      <c r="A50" s="29" t="s">
        <v>155</v>
      </c>
      <c r="B50" s="25" t="str">
        <f t="shared" si="7"/>
        <v>Blount County</v>
      </c>
      <c r="C50" s="25" t="s">
        <v>366</v>
      </c>
      <c r="D50" s="25" t="str">
        <f>"Hayden Middle School"</f>
        <v>Hayden Middle School</v>
      </c>
      <c r="E50" s="25" t="str">
        <f t="shared" si="8"/>
        <v>Schoolwide</v>
      </c>
    </row>
    <row r="51" spans="1:5" x14ac:dyDescent="0.35">
      <c r="A51" s="29" t="s">
        <v>155</v>
      </c>
      <c r="B51" s="25" t="str">
        <f t="shared" si="7"/>
        <v>Blount County</v>
      </c>
      <c r="C51" s="25" t="s">
        <v>367</v>
      </c>
      <c r="D51" s="25" t="str">
        <f>"JB Pennington High School"</f>
        <v>JB Pennington High School</v>
      </c>
      <c r="E51" s="25" t="str">
        <f t="shared" si="8"/>
        <v>Schoolwide</v>
      </c>
    </row>
    <row r="52" spans="1:5" x14ac:dyDescent="0.35">
      <c r="A52" s="29" t="s">
        <v>155</v>
      </c>
      <c r="B52" s="25" t="str">
        <f t="shared" si="7"/>
        <v>Blount County</v>
      </c>
      <c r="C52" s="25" t="s">
        <v>368</v>
      </c>
      <c r="D52" s="25" t="str">
        <f>"Locust Fork High School"</f>
        <v>Locust Fork High School</v>
      </c>
      <c r="E52" s="25" t="str">
        <f t="shared" si="8"/>
        <v>Schoolwide</v>
      </c>
    </row>
    <row r="53" spans="1:5" x14ac:dyDescent="0.35">
      <c r="A53" s="29" t="s">
        <v>155</v>
      </c>
      <c r="B53" s="25" t="str">
        <f t="shared" si="7"/>
        <v>Blount County</v>
      </c>
      <c r="C53" s="25" t="s">
        <v>369</v>
      </c>
      <c r="D53" s="25" t="str">
        <f>"Locust Fork Elementary"</f>
        <v>Locust Fork Elementary</v>
      </c>
      <c r="E53" s="25" t="str">
        <f t="shared" si="8"/>
        <v>Schoolwide</v>
      </c>
    </row>
    <row r="54" spans="1:5" x14ac:dyDescent="0.35">
      <c r="A54" s="29" t="s">
        <v>155</v>
      </c>
      <c r="B54" s="25" t="str">
        <f t="shared" si="7"/>
        <v>Blount County</v>
      </c>
      <c r="C54" s="25" t="s">
        <v>370</v>
      </c>
      <c r="D54" s="25" t="str">
        <f>"Southeastern School"</f>
        <v>Southeastern School</v>
      </c>
      <c r="E54" s="25" t="str">
        <f t="shared" si="8"/>
        <v>Schoolwide</v>
      </c>
    </row>
    <row r="55" spans="1:5" x14ac:dyDescent="0.35">
      <c r="A55" s="29" t="s">
        <v>155</v>
      </c>
      <c r="B55" s="25" t="str">
        <f t="shared" si="7"/>
        <v>Blount County</v>
      </c>
      <c r="C55" s="25" t="s">
        <v>371</v>
      </c>
      <c r="D55" s="25" t="str">
        <f>"Susan Moore High School"</f>
        <v>Susan Moore High School</v>
      </c>
      <c r="E55" s="25" t="str">
        <f t="shared" si="8"/>
        <v>Schoolwide</v>
      </c>
    </row>
    <row r="56" spans="1:5" x14ac:dyDescent="0.35">
      <c r="A56" s="29" t="s">
        <v>155</v>
      </c>
      <c r="B56" s="25" t="str">
        <f t="shared" si="7"/>
        <v>Blount County</v>
      </c>
      <c r="C56" s="25" t="s">
        <v>372</v>
      </c>
      <c r="D56" s="25" t="str">
        <f>"Susan Moore Elementary School"</f>
        <v>Susan Moore Elementary School</v>
      </c>
      <c r="E56" s="25" t="str">
        <f t="shared" si="8"/>
        <v>Schoolwide</v>
      </c>
    </row>
    <row r="57" spans="1:5" x14ac:dyDescent="0.35">
      <c r="A57" s="29" t="s">
        <v>65</v>
      </c>
      <c r="B57" s="25" t="str">
        <f>"Bullock County"</f>
        <v>Bullock County</v>
      </c>
      <c r="C57" s="25" t="s">
        <v>373</v>
      </c>
      <c r="D57" s="25" t="str">
        <f>"South Highlands Middle School"</f>
        <v>South Highlands Middle School</v>
      </c>
      <c r="E57" s="25" t="str">
        <f t="shared" si="8"/>
        <v>Schoolwide</v>
      </c>
    </row>
    <row r="58" spans="1:5" x14ac:dyDescent="0.35">
      <c r="A58" s="29" t="s">
        <v>65</v>
      </c>
      <c r="B58" s="25" t="str">
        <f>"Bullock County"</f>
        <v>Bullock County</v>
      </c>
      <c r="C58" s="25" t="s">
        <v>374</v>
      </c>
      <c r="D58" s="25" t="str">
        <f>"Union Springs Elementary School"</f>
        <v>Union Springs Elementary School</v>
      </c>
      <c r="E58" s="25" t="str">
        <f t="shared" si="8"/>
        <v>Schoolwide</v>
      </c>
    </row>
    <row r="59" spans="1:5" x14ac:dyDescent="0.35">
      <c r="A59" s="29" t="s">
        <v>65</v>
      </c>
      <c r="B59" s="25" t="str">
        <f>"Bullock County"</f>
        <v>Bullock County</v>
      </c>
      <c r="C59" s="25" t="s">
        <v>375</v>
      </c>
      <c r="D59" s="25" t="str">
        <f>"Bullock County High School"</f>
        <v>Bullock County High School</v>
      </c>
      <c r="E59" s="25" t="str">
        <f t="shared" si="8"/>
        <v>Schoolwide</v>
      </c>
    </row>
    <row r="60" spans="1:5" x14ac:dyDescent="0.35">
      <c r="A60" s="29" t="s">
        <v>13</v>
      </c>
      <c r="B60" s="25" t="str">
        <f t="shared" ref="B60:B65" si="9">"Butler County"</f>
        <v>Butler County</v>
      </c>
      <c r="C60" s="25" t="s">
        <v>376</v>
      </c>
      <c r="D60" s="25" t="str">
        <f>"Greenville High School"</f>
        <v>Greenville High School</v>
      </c>
      <c r="E60" s="25" t="str">
        <f t="shared" si="8"/>
        <v>Schoolwide</v>
      </c>
    </row>
    <row r="61" spans="1:5" x14ac:dyDescent="0.35">
      <c r="A61" s="29" t="s">
        <v>13</v>
      </c>
      <c r="B61" s="25" t="str">
        <f t="shared" si="9"/>
        <v>Butler County</v>
      </c>
      <c r="C61" s="25" t="s">
        <v>377</v>
      </c>
      <c r="D61" s="25" t="str">
        <f>"Greenville Middle School"</f>
        <v>Greenville Middle School</v>
      </c>
      <c r="E61" s="25" t="str">
        <f t="shared" si="8"/>
        <v>Schoolwide</v>
      </c>
    </row>
    <row r="62" spans="1:5" x14ac:dyDescent="0.35">
      <c r="A62" s="29" t="s">
        <v>13</v>
      </c>
      <c r="B62" s="25" t="str">
        <f t="shared" si="9"/>
        <v>Butler County</v>
      </c>
      <c r="C62" s="25" t="s">
        <v>378</v>
      </c>
      <c r="D62" s="25" t="str">
        <f>"Greenville Elementary School"</f>
        <v>Greenville Elementary School</v>
      </c>
      <c r="E62" s="25" t="str">
        <f t="shared" si="8"/>
        <v>Schoolwide</v>
      </c>
    </row>
    <row r="63" spans="1:5" x14ac:dyDescent="0.35">
      <c r="A63" s="29" t="s">
        <v>13</v>
      </c>
      <c r="B63" s="25" t="str">
        <f t="shared" si="9"/>
        <v>Butler County</v>
      </c>
      <c r="C63" s="25" t="s">
        <v>379</v>
      </c>
      <c r="D63" s="25" t="str">
        <f>"McKenzie High School"</f>
        <v>McKenzie High School</v>
      </c>
      <c r="E63" s="25" t="str">
        <f t="shared" si="8"/>
        <v>Schoolwide</v>
      </c>
    </row>
    <row r="64" spans="1:5" x14ac:dyDescent="0.35">
      <c r="A64" s="29" t="s">
        <v>13</v>
      </c>
      <c r="B64" s="25" t="str">
        <f t="shared" si="9"/>
        <v>Butler County</v>
      </c>
      <c r="C64" s="25" t="s">
        <v>380</v>
      </c>
      <c r="D64" s="25" t="str">
        <f>"WO Parmer Elementary School"</f>
        <v>WO Parmer Elementary School</v>
      </c>
      <c r="E64" s="25" t="str">
        <f t="shared" si="8"/>
        <v>Schoolwide</v>
      </c>
    </row>
    <row r="65" spans="1:5" x14ac:dyDescent="0.35">
      <c r="A65" s="29" t="s">
        <v>13</v>
      </c>
      <c r="B65" s="25" t="str">
        <f t="shared" si="9"/>
        <v>Butler County</v>
      </c>
      <c r="C65" s="25" t="s">
        <v>381</v>
      </c>
      <c r="D65" s="25" t="str">
        <f>"Georgiana School "</f>
        <v xml:space="preserve">Georgiana School </v>
      </c>
      <c r="E65" s="25" t="str">
        <f t="shared" si="8"/>
        <v>Schoolwide</v>
      </c>
    </row>
    <row r="66" spans="1:5" x14ac:dyDescent="0.35">
      <c r="A66" s="29" t="s">
        <v>107</v>
      </c>
      <c r="B66" s="25" t="str">
        <f t="shared" ref="B66:B75" si="10">"Calhoun County"</f>
        <v>Calhoun County</v>
      </c>
      <c r="C66" s="25" t="s">
        <v>382</v>
      </c>
      <c r="D66" s="25" t="str">
        <f>"Alexandria Elementary School"</f>
        <v>Alexandria Elementary School</v>
      </c>
      <c r="E66" s="25" t="str">
        <f t="shared" si="8"/>
        <v>Schoolwide</v>
      </c>
    </row>
    <row r="67" spans="1:5" x14ac:dyDescent="0.35">
      <c r="A67" s="29" t="s">
        <v>107</v>
      </c>
      <c r="B67" s="25" t="str">
        <f t="shared" si="10"/>
        <v>Calhoun County</v>
      </c>
      <c r="C67" s="25" t="s">
        <v>383</v>
      </c>
      <c r="D67" s="25" t="str">
        <f>"Ohatchee Elementary School"</f>
        <v>Ohatchee Elementary School</v>
      </c>
      <c r="E67" s="25" t="str">
        <f t="shared" si="8"/>
        <v>Schoolwide</v>
      </c>
    </row>
    <row r="68" spans="1:5" x14ac:dyDescent="0.35">
      <c r="A68" s="29" t="s">
        <v>107</v>
      </c>
      <c r="B68" s="25" t="str">
        <f t="shared" si="10"/>
        <v>Calhoun County</v>
      </c>
      <c r="C68" s="25" t="s">
        <v>384</v>
      </c>
      <c r="D68" s="25" t="str">
        <f>"Pleasant Valley Elementary School"</f>
        <v>Pleasant Valley Elementary School</v>
      </c>
      <c r="E68" s="25" t="str">
        <f t="shared" si="8"/>
        <v>Schoolwide</v>
      </c>
    </row>
    <row r="69" spans="1:5" x14ac:dyDescent="0.35">
      <c r="A69" s="29" t="s">
        <v>107</v>
      </c>
      <c r="B69" s="25" t="str">
        <f t="shared" si="10"/>
        <v>Calhoun County</v>
      </c>
      <c r="C69" s="25" t="s">
        <v>385</v>
      </c>
      <c r="D69" s="25" t="str">
        <f>"Saks Elementary School"</f>
        <v>Saks Elementary School</v>
      </c>
      <c r="E69" s="25" t="str">
        <f t="shared" si="8"/>
        <v>Schoolwide</v>
      </c>
    </row>
    <row r="70" spans="1:5" x14ac:dyDescent="0.35">
      <c r="A70" s="29" t="s">
        <v>107</v>
      </c>
      <c r="B70" s="25" t="str">
        <f t="shared" si="10"/>
        <v>Calhoun County</v>
      </c>
      <c r="C70" s="25" t="s">
        <v>386</v>
      </c>
      <c r="D70" s="25" t="str">
        <f>"Saks High School"</f>
        <v>Saks High School</v>
      </c>
      <c r="E70" s="25" t="str">
        <f t="shared" si="8"/>
        <v>Schoolwide</v>
      </c>
    </row>
    <row r="71" spans="1:5" x14ac:dyDescent="0.35">
      <c r="A71" s="29" t="s">
        <v>107</v>
      </c>
      <c r="B71" s="25" t="str">
        <f t="shared" si="10"/>
        <v>Calhoun County</v>
      </c>
      <c r="C71" s="25" t="s">
        <v>387</v>
      </c>
      <c r="D71" s="25" t="str">
        <f>"Saks Middle School"</f>
        <v>Saks Middle School</v>
      </c>
      <c r="E71" s="25" t="str">
        <f t="shared" si="8"/>
        <v>Schoolwide</v>
      </c>
    </row>
    <row r="72" spans="1:5" x14ac:dyDescent="0.35">
      <c r="A72" s="29" t="s">
        <v>107</v>
      </c>
      <c r="B72" s="25" t="str">
        <f t="shared" si="10"/>
        <v>Calhoun County</v>
      </c>
      <c r="C72" s="25" t="s">
        <v>388</v>
      </c>
      <c r="D72" s="25" t="str">
        <f>"Weaver Elementary School"</f>
        <v>Weaver Elementary School</v>
      </c>
      <c r="E72" s="25" t="str">
        <f t="shared" si="8"/>
        <v>Schoolwide</v>
      </c>
    </row>
    <row r="73" spans="1:5" x14ac:dyDescent="0.35">
      <c r="A73" s="29" t="s">
        <v>107</v>
      </c>
      <c r="B73" s="25" t="str">
        <f t="shared" si="10"/>
        <v>Calhoun County</v>
      </c>
      <c r="C73" s="25" t="s">
        <v>389</v>
      </c>
      <c r="D73" s="25" t="str">
        <f>"Wellborn High School"</f>
        <v>Wellborn High School</v>
      </c>
      <c r="E73" s="25" t="str">
        <f t="shared" si="8"/>
        <v>Schoolwide</v>
      </c>
    </row>
    <row r="74" spans="1:5" x14ac:dyDescent="0.35">
      <c r="A74" s="29" t="s">
        <v>107</v>
      </c>
      <c r="B74" s="25" t="str">
        <f t="shared" si="10"/>
        <v>Calhoun County</v>
      </c>
      <c r="C74" s="25" t="s">
        <v>390</v>
      </c>
      <c r="D74" s="25" t="str">
        <f>"Wellborn Elementary School"</f>
        <v>Wellborn Elementary School</v>
      </c>
      <c r="E74" s="25" t="str">
        <f t="shared" si="8"/>
        <v>Schoolwide</v>
      </c>
    </row>
    <row r="75" spans="1:5" x14ac:dyDescent="0.35">
      <c r="A75" s="29" t="s">
        <v>107</v>
      </c>
      <c r="B75" s="25" t="str">
        <f t="shared" si="10"/>
        <v>Calhoun County</v>
      </c>
      <c r="C75" s="25" t="s">
        <v>391</v>
      </c>
      <c r="D75" s="25" t="str">
        <f>"White Plains Elementary School"</f>
        <v>White Plains Elementary School</v>
      </c>
      <c r="E75" s="25" t="str">
        <f t="shared" si="8"/>
        <v>Schoolwide</v>
      </c>
    </row>
    <row r="76" spans="1:5" x14ac:dyDescent="0.35">
      <c r="A76" s="29" t="s">
        <v>192</v>
      </c>
      <c r="B76" s="25" t="str">
        <f t="shared" ref="B76:B83" si="11">"Chambers County"</f>
        <v>Chambers County</v>
      </c>
      <c r="C76" s="25" t="s">
        <v>392</v>
      </c>
      <c r="D76" s="25" t="str">
        <f>"Fairfax Elementary School"</f>
        <v>Fairfax Elementary School</v>
      </c>
      <c r="E76" s="25" t="str">
        <f t="shared" ref="E76:E112" si="12">"Schoolwide"</f>
        <v>Schoolwide</v>
      </c>
    </row>
    <row r="77" spans="1:5" x14ac:dyDescent="0.35">
      <c r="A77" s="29" t="s">
        <v>192</v>
      </c>
      <c r="B77" s="25" t="str">
        <f t="shared" si="11"/>
        <v>Chambers County</v>
      </c>
      <c r="C77" s="25" t="s">
        <v>393</v>
      </c>
      <c r="D77" s="25" t="str">
        <f>"Five Points Elementary School"</f>
        <v>Five Points Elementary School</v>
      </c>
      <c r="E77" s="25" t="str">
        <f t="shared" si="12"/>
        <v>Schoolwide</v>
      </c>
    </row>
    <row r="78" spans="1:5" x14ac:dyDescent="0.35">
      <c r="A78" s="29" t="s">
        <v>192</v>
      </c>
      <c r="B78" s="25" t="str">
        <f t="shared" si="11"/>
        <v>Chambers County</v>
      </c>
      <c r="C78" s="25" t="s">
        <v>394</v>
      </c>
      <c r="D78" s="25" t="str">
        <f>"Huguley Elementary School"</f>
        <v>Huguley Elementary School</v>
      </c>
      <c r="E78" s="25" t="str">
        <f t="shared" si="12"/>
        <v>Schoolwide</v>
      </c>
    </row>
    <row r="79" spans="1:5" x14ac:dyDescent="0.35">
      <c r="A79" s="29" t="s">
        <v>192</v>
      </c>
      <c r="B79" s="25" t="str">
        <f t="shared" si="11"/>
        <v>Chambers County</v>
      </c>
      <c r="C79" s="25" t="s">
        <v>395</v>
      </c>
      <c r="D79" s="25" t="str">
        <f>"Lafayette Eastside Elementary School"</f>
        <v>Lafayette Eastside Elementary School</v>
      </c>
      <c r="E79" s="25" t="str">
        <f t="shared" si="12"/>
        <v>Schoolwide</v>
      </c>
    </row>
    <row r="80" spans="1:5" x14ac:dyDescent="0.35">
      <c r="A80" s="29" t="s">
        <v>192</v>
      </c>
      <c r="B80" s="25" t="str">
        <f t="shared" si="11"/>
        <v>Chambers County</v>
      </c>
      <c r="C80" s="25" t="s">
        <v>396</v>
      </c>
      <c r="D80" s="25" t="str">
        <f>"Lafayette High School"</f>
        <v>Lafayette High School</v>
      </c>
      <c r="E80" s="25" t="str">
        <f t="shared" si="12"/>
        <v>Schoolwide</v>
      </c>
    </row>
    <row r="81" spans="1:5" x14ac:dyDescent="0.35">
      <c r="A81" s="29" t="s">
        <v>192</v>
      </c>
      <c r="B81" s="25" t="str">
        <f t="shared" si="11"/>
        <v>Chambers County</v>
      </c>
      <c r="C81" s="25" t="s">
        <v>397</v>
      </c>
      <c r="D81" s="25" t="str">
        <f>"Lafayette Lanier Elementary School"</f>
        <v>Lafayette Lanier Elementary School</v>
      </c>
      <c r="E81" s="25" t="str">
        <f t="shared" si="12"/>
        <v>Schoolwide</v>
      </c>
    </row>
    <row r="82" spans="1:5" x14ac:dyDescent="0.35">
      <c r="A82" s="29" t="s">
        <v>192</v>
      </c>
      <c r="B82" s="25" t="str">
        <f t="shared" si="11"/>
        <v>Chambers County</v>
      </c>
      <c r="C82" s="25" t="s">
        <v>398</v>
      </c>
      <c r="D82" s="25" t="str">
        <f>"John P Powell Middle School"</f>
        <v>John P Powell Middle School</v>
      </c>
      <c r="E82" s="25" t="str">
        <f t="shared" si="12"/>
        <v>Schoolwide</v>
      </c>
    </row>
    <row r="83" spans="1:5" x14ac:dyDescent="0.35">
      <c r="A83" s="29" t="s">
        <v>192</v>
      </c>
      <c r="B83" s="25" t="str">
        <f t="shared" si="11"/>
        <v>Chambers County</v>
      </c>
      <c r="C83" s="25" t="s">
        <v>399</v>
      </c>
      <c r="D83" s="25" t="str">
        <f>"Bob Harding-Shawmut Elementary"</f>
        <v>Bob Harding-Shawmut Elementary</v>
      </c>
      <c r="E83" s="25" t="str">
        <f t="shared" si="12"/>
        <v>Schoolwide</v>
      </c>
    </row>
    <row r="84" spans="1:5" x14ac:dyDescent="0.35">
      <c r="A84" s="29" t="s">
        <v>101</v>
      </c>
      <c r="B84" s="25" t="str">
        <f t="shared" ref="B84:B90" si="13">"Cherokee County"</f>
        <v>Cherokee County</v>
      </c>
      <c r="C84" s="25" t="s">
        <v>400</v>
      </c>
      <c r="D84" s="25" t="str">
        <f>"Cedar Bluff High School"</f>
        <v>Cedar Bluff High School</v>
      </c>
      <c r="E84" s="25" t="str">
        <f t="shared" si="12"/>
        <v>Schoolwide</v>
      </c>
    </row>
    <row r="85" spans="1:5" x14ac:dyDescent="0.35">
      <c r="A85" s="29" t="s">
        <v>101</v>
      </c>
      <c r="B85" s="25" t="str">
        <f t="shared" si="13"/>
        <v>Cherokee County</v>
      </c>
      <c r="C85" s="25" t="s">
        <v>401</v>
      </c>
      <c r="D85" s="25" t="str">
        <f>"Centre Elementary School"</f>
        <v>Centre Elementary School</v>
      </c>
      <c r="E85" s="25" t="str">
        <f t="shared" si="12"/>
        <v>Schoolwide</v>
      </c>
    </row>
    <row r="86" spans="1:5" x14ac:dyDescent="0.35">
      <c r="A86" s="29" t="s">
        <v>101</v>
      </c>
      <c r="B86" s="25" t="str">
        <f t="shared" si="13"/>
        <v>Cherokee County</v>
      </c>
      <c r="C86" s="25" t="s">
        <v>402</v>
      </c>
      <c r="D86" s="25" t="str">
        <f>"Centre Middle School"</f>
        <v>Centre Middle School</v>
      </c>
      <c r="E86" s="25" t="str">
        <f t="shared" si="12"/>
        <v>Schoolwide</v>
      </c>
    </row>
    <row r="87" spans="1:5" x14ac:dyDescent="0.35">
      <c r="A87" s="29" t="s">
        <v>101</v>
      </c>
      <c r="B87" s="25" t="str">
        <f t="shared" si="13"/>
        <v>Cherokee County</v>
      </c>
      <c r="C87" s="25" t="s">
        <v>403</v>
      </c>
      <c r="D87" s="25" t="str">
        <f>"Cherokee County High School"</f>
        <v>Cherokee County High School</v>
      </c>
      <c r="E87" s="25" t="str">
        <f t="shared" si="12"/>
        <v>Schoolwide</v>
      </c>
    </row>
    <row r="88" spans="1:5" x14ac:dyDescent="0.35">
      <c r="A88" s="29" t="s">
        <v>101</v>
      </c>
      <c r="B88" s="25" t="str">
        <f t="shared" si="13"/>
        <v>Cherokee County</v>
      </c>
      <c r="C88" s="25" t="s">
        <v>404</v>
      </c>
      <c r="D88" s="25" t="str">
        <f>"Gaylesville High School"</f>
        <v>Gaylesville High School</v>
      </c>
      <c r="E88" s="25" t="str">
        <f t="shared" si="12"/>
        <v>Schoolwide</v>
      </c>
    </row>
    <row r="89" spans="1:5" x14ac:dyDescent="0.35">
      <c r="A89" s="29" t="s">
        <v>101</v>
      </c>
      <c r="B89" s="25" t="str">
        <f t="shared" si="13"/>
        <v>Cherokee County</v>
      </c>
      <c r="C89" s="25" t="s">
        <v>405</v>
      </c>
      <c r="D89" s="25" t="str">
        <f>"Sand Rock High School"</f>
        <v>Sand Rock High School</v>
      </c>
      <c r="E89" s="25" t="str">
        <f t="shared" si="12"/>
        <v>Schoolwide</v>
      </c>
    </row>
    <row r="90" spans="1:5" x14ac:dyDescent="0.35">
      <c r="A90" s="29" t="s">
        <v>101</v>
      </c>
      <c r="B90" s="25" t="str">
        <f t="shared" si="13"/>
        <v>Cherokee County</v>
      </c>
      <c r="C90" s="25" t="s">
        <v>406</v>
      </c>
      <c r="D90" s="25" t="str">
        <f>"Spring Garden High School"</f>
        <v>Spring Garden High School</v>
      </c>
      <c r="E90" s="25" t="str">
        <f t="shared" si="12"/>
        <v>Schoolwide</v>
      </c>
    </row>
    <row r="91" spans="1:5" x14ac:dyDescent="0.35">
      <c r="A91" s="29" t="s">
        <v>69</v>
      </c>
      <c r="B91" s="25" t="str">
        <f t="shared" ref="B91:B102" si="14">"Chilton County"</f>
        <v>Chilton County</v>
      </c>
      <c r="C91" s="25" t="s">
        <v>407</v>
      </c>
      <c r="D91" s="25" t="str">
        <f>"Chilton County High School"</f>
        <v>Chilton County High School</v>
      </c>
      <c r="E91" s="25" t="str">
        <f t="shared" si="12"/>
        <v>Schoolwide</v>
      </c>
    </row>
    <row r="92" spans="1:5" x14ac:dyDescent="0.35">
      <c r="A92" s="29" t="s">
        <v>69</v>
      </c>
      <c r="B92" s="25" t="str">
        <f t="shared" si="14"/>
        <v>Chilton County</v>
      </c>
      <c r="C92" s="25" t="s">
        <v>408</v>
      </c>
      <c r="D92" s="25" t="str">
        <f>"Clanton Elementary School"</f>
        <v>Clanton Elementary School</v>
      </c>
      <c r="E92" s="25" t="str">
        <f t="shared" si="12"/>
        <v>Schoolwide</v>
      </c>
    </row>
    <row r="93" spans="1:5" x14ac:dyDescent="0.35">
      <c r="A93" s="29" t="s">
        <v>69</v>
      </c>
      <c r="B93" s="25" t="str">
        <f t="shared" si="14"/>
        <v>Chilton County</v>
      </c>
      <c r="C93" s="25" t="s">
        <v>409</v>
      </c>
      <c r="D93" s="25" t="str">
        <f>"Clanton Intermediate School"</f>
        <v>Clanton Intermediate School</v>
      </c>
      <c r="E93" s="25" t="str">
        <f t="shared" si="12"/>
        <v>Schoolwide</v>
      </c>
    </row>
    <row r="94" spans="1:5" x14ac:dyDescent="0.35">
      <c r="A94" s="29" t="s">
        <v>69</v>
      </c>
      <c r="B94" s="25" t="str">
        <f t="shared" si="14"/>
        <v>Chilton County</v>
      </c>
      <c r="C94" s="25" t="s">
        <v>410</v>
      </c>
      <c r="D94" s="25" t="str">
        <f>"Clanton Middle School"</f>
        <v>Clanton Middle School</v>
      </c>
      <c r="E94" s="25" t="str">
        <f t="shared" si="12"/>
        <v>Schoolwide</v>
      </c>
    </row>
    <row r="95" spans="1:5" x14ac:dyDescent="0.35">
      <c r="A95" s="29" t="s">
        <v>69</v>
      </c>
      <c r="B95" s="25" t="str">
        <f t="shared" si="14"/>
        <v>Chilton County</v>
      </c>
      <c r="C95" s="25" t="s">
        <v>411</v>
      </c>
      <c r="D95" s="25" t="str">
        <f>"Isabella High School"</f>
        <v>Isabella High School</v>
      </c>
      <c r="E95" s="25" t="str">
        <f t="shared" si="12"/>
        <v>Schoolwide</v>
      </c>
    </row>
    <row r="96" spans="1:5" x14ac:dyDescent="0.35">
      <c r="A96" s="29" t="s">
        <v>69</v>
      </c>
      <c r="B96" s="25" t="str">
        <f t="shared" si="14"/>
        <v>Chilton County</v>
      </c>
      <c r="C96" s="25" t="s">
        <v>412</v>
      </c>
      <c r="D96" s="25" t="str">
        <f>"Jemison Elementary School"</f>
        <v>Jemison Elementary School</v>
      </c>
      <c r="E96" s="25" t="str">
        <f t="shared" si="12"/>
        <v>Schoolwide</v>
      </c>
    </row>
    <row r="97" spans="1:5" x14ac:dyDescent="0.35">
      <c r="A97" s="29" t="s">
        <v>69</v>
      </c>
      <c r="B97" s="25" t="str">
        <f t="shared" si="14"/>
        <v>Chilton County</v>
      </c>
      <c r="C97" s="25" t="s">
        <v>413</v>
      </c>
      <c r="D97" s="25" t="str">
        <f>"Jemison Intermediate School"</f>
        <v>Jemison Intermediate School</v>
      </c>
      <c r="E97" s="25" t="str">
        <f t="shared" si="12"/>
        <v>Schoolwide</v>
      </c>
    </row>
    <row r="98" spans="1:5" x14ac:dyDescent="0.35">
      <c r="A98" s="29" t="s">
        <v>69</v>
      </c>
      <c r="B98" s="25" t="str">
        <f t="shared" si="14"/>
        <v>Chilton County</v>
      </c>
      <c r="C98" s="25" t="s">
        <v>414</v>
      </c>
      <c r="D98" s="25" t="str">
        <f>"Jemison Middle School"</f>
        <v>Jemison Middle School</v>
      </c>
      <c r="E98" s="25" t="str">
        <f t="shared" si="12"/>
        <v>Schoolwide</v>
      </c>
    </row>
    <row r="99" spans="1:5" x14ac:dyDescent="0.35">
      <c r="A99" s="29" t="s">
        <v>69</v>
      </c>
      <c r="B99" s="25" t="str">
        <f t="shared" si="14"/>
        <v>Chilton County</v>
      </c>
      <c r="C99" s="25" t="s">
        <v>415</v>
      </c>
      <c r="D99" s="25" t="str">
        <f>"Jemison High School"</f>
        <v>Jemison High School</v>
      </c>
      <c r="E99" s="25" t="str">
        <f t="shared" si="12"/>
        <v>Schoolwide</v>
      </c>
    </row>
    <row r="100" spans="1:5" x14ac:dyDescent="0.35">
      <c r="A100" s="29" t="s">
        <v>69</v>
      </c>
      <c r="B100" s="25" t="str">
        <f t="shared" si="14"/>
        <v>Chilton County</v>
      </c>
      <c r="C100" s="25" t="s">
        <v>416</v>
      </c>
      <c r="D100" s="25" t="str">
        <f>"Maplesville High School"</f>
        <v>Maplesville High School</v>
      </c>
      <c r="E100" s="25" t="str">
        <f t="shared" si="12"/>
        <v>Schoolwide</v>
      </c>
    </row>
    <row r="101" spans="1:5" x14ac:dyDescent="0.35">
      <c r="A101" s="29" t="s">
        <v>69</v>
      </c>
      <c r="B101" s="25" t="str">
        <f t="shared" si="14"/>
        <v>Chilton County</v>
      </c>
      <c r="C101" s="25" t="s">
        <v>417</v>
      </c>
      <c r="D101" s="25" t="str">
        <f>"Thorsby High School"</f>
        <v>Thorsby High School</v>
      </c>
      <c r="E101" s="25" t="str">
        <f t="shared" si="12"/>
        <v>Schoolwide</v>
      </c>
    </row>
    <row r="102" spans="1:5" x14ac:dyDescent="0.35">
      <c r="A102" s="29" t="s">
        <v>69</v>
      </c>
      <c r="B102" s="25" t="str">
        <f t="shared" si="14"/>
        <v>Chilton County</v>
      </c>
      <c r="C102" s="25" t="s">
        <v>418</v>
      </c>
      <c r="D102" s="25" t="str">
        <f>"Verbena High School"</f>
        <v>Verbena High School</v>
      </c>
      <c r="E102" s="25" t="str">
        <f t="shared" si="12"/>
        <v>Schoolwide</v>
      </c>
    </row>
    <row r="103" spans="1:5" x14ac:dyDescent="0.35">
      <c r="A103" s="29" t="s">
        <v>133</v>
      </c>
      <c r="B103" s="25" t="str">
        <f>"Choctaw County"</f>
        <v>Choctaw County</v>
      </c>
      <c r="C103" s="25" t="s">
        <v>419</v>
      </c>
      <c r="D103" s="25" t="str">
        <f>"Choctaw County High School"</f>
        <v>Choctaw County High School</v>
      </c>
      <c r="E103" s="25" t="str">
        <f t="shared" si="12"/>
        <v>Schoolwide</v>
      </c>
    </row>
    <row r="104" spans="1:5" x14ac:dyDescent="0.35">
      <c r="A104" s="29" t="s">
        <v>133</v>
      </c>
      <c r="B104" s="25" t="str">
        <f>"Choctaw County"</f>
        <v>Choctaw County</v>
      </c>
      <c r="C104" s="25" t="s">
        <v>420</v>
      </c>
      <c r="D104" s="25" t="str">
        <f>"Choctaw County Elementary"</f>
        <v>Choctaw County Elementary</v>
      </c>
      <c r="E104" s="25" t="str">
        <f t="shared" si="12"/>
        <v>Schoolwide</v>
      </c>
    </row>
    <row r="105" spans="1:5" x14ac:dyDescent="0.35">
      <c r="A105" s="29" t="s">
        <v>133</v>
      </c>
      <c r="B105" s="25" t="str">
        <f>"Choctaw County"</f>
        <v>Choctaw County</v>
      </c>
      <c r="C105" s="25" t="s">
        <v>421</v>
      </c>
      <c r="D105" s="25" t="str">
        <f>"Southern Choctaw Elementary School"</f>
        <v>Southern Choctaw Elementary School</v>
      </c>
      <c r="E105" s="25" t="str">
        <f t="shared" si="12"/>
        <v>Schoolwide</v>
      </c>
    </row>
    <row r="106" spans="1:5" x14ac:dyDescent="0.35">
      <c r="A106" s="29" t="s">
        <v>133</v>
      </c>
      <c r="B106" s="25" t="str">
        <f>"Choctaw County"</f>
        <v>Choctaw County</v>
      </c>
      <c r="C106" s="25" t="s">
        <v>422</v>
      </c>
      <c r="D106" s="25" t="str">
        <f>"Southern Choctaw High School"</f>
        <v>Southern Choctaw High School</v>
      </c>
      <c r="E106" s="25" t="str">
        <f t="shared" si="12"/>
        <v>Schoolwide</v>
      </c>
    </row>
    <row r="107" spans="1:5" x14ac:dyDescent="0.35">
      <c r="A107" s="29" t="s">
        <v>194</v>
      </c>
      <c r="B107" s="25" t="str">
        <f t="shared" ref="B107:B112" si="15">"Clarke County"</f>
        <v>Clarke County</v>
      </c>
      <c r="C107" s="25" t="s">
        <v>423</v>
      </c>
      <c r="D107" s="25" t="str">
        <f>"Clarke County High School"</f>
        <v>Clarke County High School</v>
      </c>
      <c r="E107" s="25" t="str">
        <f t="shared" si="12"/>
        <v>Schoolwide</v>
      </c>
    </row>
    <row r="108" spans="1:5" x14ac:dyDescent="0.35">
      <c r="A108" s="29" t="s">
        <v>194</v>
      </c>
      <c r="B108" s="25" t="str">
        <f t="shared" si="15"/>
        <v>Clarke County</v>
      </c>
      <c r="C108" s="25" t="s">
        <v>424</v>
      </c>
      <c r="D108" s="25" t="str">
        <f>"Grove Hill Elementary School"</f>
        <v>Grove Hill Elementary School</v>
      </c>
      <c r="E108" s="25" t="str">
        <f t="shared" si="12"/>
        <v>Schoolwide</v>
      </c>
    </row>
    <row r="109" spans="1:5" x14ac:dyDescent="0.35">
      <c r="A109" s="29" t="s">
        <v>194</v>
      </c>
      <c r="B109" s="25" t="str">
        <f t="shared" si="15"/>
        <v>Clarke County</v>
      </c>
      <c r="C109" s="25" t="s">
        <v>425</v>
      </c>
      <c r="D109" s="25" t="str">
        <f>"Jackson Middle School"</f>
        <v>Jackson Middle School</v>
      </c>
      <c r="E109" s="25" t="str">
        <f t="shared" si="12"/>
        <v>Schoolwide</v>
      </c>
    </row>
    <row r="110" spans="1:5" x14ac:dyDescent="0.35">
      <c r="A110" s="29" t="s">
        <v>194</v>
      </c>
      <c r="B110" s="25" t="str">
        <f t="shared" si="15"/>
        <v>Clarke County</v>
      </c>
      <c r="C110" s="25" t="s">
        <v>426</v>
      </c>
      <c r="D110" s="25" t="str">
        <f>"Jackson Intermediate School"</f>
        <v>Jackson Intermediate School</v>
      </c>
      <c r="E110" s="25" t="str">
        <f t="shared" si="12"/>
        <v>Schoolwide</v>
      </c>
    </row>
    <row r="111" spans="1:5" x14ac:dyDescent="0.35">
      <c r="A111" s="29" t="s">
        <v>194</v>
      </c>
      <c r="B111" s="25" t="str">
        <f t="shared" si="15"/>
        <v>Clarke County</v>
      </c>
      <c r="C111" s="25" t="s">
        <v>427</v>
      </c>
      <c r="D111" s="25" t="str">
        <f>"Joe M Gillmore Elementary School"</f>
        <v>Joe M Gillmore Elementary School</v>
      </c>
      <c r="E111" s="25" t="str">
        <f t="shared" si="12"/>
        <v>Schoolwide</v>
      </c>
    </row>
    <row r="112" spans="1:5" x14ac:dyDescent="0.35">
      <c r="A112" s="29" t="s">
        <v>194</v>
      </c>
      <c r="B112" s="25" t="str">
        <f t="shared" si="15"/>
        <v>Clarke County</v>
      </c>
      <c r="C112" s="25" t="s">
        <v>428</v>
      </c>
      <c r="D112" s="25" t="str">
        <f>"Wilson Hall Middle School"</f>
        <v>Wilson Hall Middle School</v>
      </c>
      <c r="E112" s="25" t="str">
        <f t="shared" si="12"/>
        <v>Schoolwide</v>
      </c>
    </row>
    <row r="113" spans="1:5" x14ac:dyDescent="0.35">
      <c r="A113" s="29" t="s">
        <v>83</v>
      </c>
      <c r="B113" s="25" t="str">
        <f>"Clay County"</f>
        <v>Clay County</v>
      </c>
      <c r="C113" s="25" t="s">
        <v>429</v>
      </c>
      <c r="D113" s="25" t="str">
        <f>"Ashland Elementary School"</f>
        <v>Ashland Elementary School</v>
      </c>
      <c r="E113" s="25" t="str">
        <f t="shared" ref="E113:E138" si="16">"Schoolwide"</f>
        <v>Schoolwide</v>
      </c>
    </row>
    <row r="114" spans="1:5" x14ac:dyDescent="0.35">
      <c r="A114" s="29" t="s">
        <v>83</v>
      </c>
      <c r="B114" s="25" t="str">
        <f>"Clay County"</f>
        <v>Clay County</v>
      </c>
      <c r="C114" s="25" t="s">
        <v>430</v>
      </c>
      <c r="D114" s="25" t="str">
        <f>"Lineville Elementary School"</f>
        <v>Lineville Elementary School</v>
      </c>
      <c r="E114" s="25" t="str">
        <f t="shared" si="16"/>
        <v>Schoolwide</v>
      </c>
    </row>
    <row r="115" spans="1:5" x14ac:dyDescent="0.35">
      <c r="A115" s="29" t="s">
        <v>143</v>
      </c>
      <c r="B115" s="25" t="str">
        <f t="shared" ref="B115:B120" si="17">"Cleburne County"</f>
        <v>Cleburne County</v>
      </c>
      <c r="C115" s="25" t="s">
        <v>431</v>
      </c>
      <c r="D115" s="25" t="str">
        <f>"Cleburne County Elementary School"</f>
        <v>Cleburne County Elementary School</v>
      </c>
      <c r="E115" s="25" t="str">
        <f t="shared" ref="E115:E120" si="18">"Schoolwide"</f>
        <v>Schoolwide</v>
      </c>
    </row>
    <row r="116" spans="1:5" x14ac:dyDescent="0.35">
      <c r="A116" s="29" t="s">
        <v>143</v>
      </c>
      <c r="B116" s="25" t="str">
        <f t="shared" si="17"/>
        <v>Cleburne County</v>
      </c>
      <c r="C116" s="25" t="s">
        <v>432</v>
      </c>
      <c r="D116" s="25" t="str">
        <f>"Cleburne County Middle School"</f>
        <v>Cleburne County Middle School</v>
      </c>
      <c r="E116" s="25" t="str">
        <f t="shared" si="18"/>
        <v>Schoolwide</v>
      </c>
    </row>
    <row r="117" spans="1:5" x14ac:dyDescent="0.35">
      <c r="A117" s="29" t="s">
        <v>143</v>
      </c>
      <c r="B117" s="25" t="str">
        <f t="shared" si="17"/>
        <v>Cleburne County</v>
      </c>
      <c r="C117" s="25" t="s">
        <v>433</v>
      </c>
      <c r="D117" s="25" t="str">
        <f>"Fruithurst Elementary School"</f>
        <v>Fruithurst Elementary School</v>
      </c>
      <c r="E117" s="25" t="str">
        <f t="shared" si="18"/>
        <v>Schoolwide</v>
      </c>
    </row>
    <row r="118" spans="1:5" x14ac:dyDescent="0.35">
      <c r="A118" s="29" t="s">
        <v>143</v>
      </c>
      <c r="B118" s="25" t="str">
        <f t="shared" si="17"/>
        <v>Cleburne County</v>
      </c>
      <c r="C118" s="25" t="s">
        <v>434</v>
      </c>
      <c r="D118" s="25" t="str">
        <f>"Pleasant Grove Elementary School"</f>
        <v>Pleasant Grove Elementary School</v>
      </c>
      <c r="E118" s="25" t="str">
        <f t="shared" si="18"/>
        <v>Schoolwide</v>
      </c>
    </row>
    <row r="119" spans="1:5" x14ac:dyDescent="0.35">
      <c r="A119" s="29" t="s">
        <v>143</v>
      </c>
      <c r="B119" s="25" t="str">
        <f t="shared" si="17"/>
        <v>Cleburne County</v>
      </c>
      <c r="C119" s="25" t="s">
        <v>435</v>
      </c>
      <c r="D119" s="25" t="str">
        <f>"Ranburne Elementary School"</f>
        <v>Ranburne Elementary School</v>
      </c>
      <c r="E119" s="25" t="str">
        <f t="shared" si="18"/>
        <v>Schoolwide</v>
      </c>
    </row>
    <row r="120" spans="1:5" x14ac:dyDescent="0.35">
      <c r="A120" s="29" t="s">
        <v>143</v>
      </c>
      <c r="B120" s="25" t="str">
        <f t="shared" si="17"/>
        <v>Cleburne County</v>
      </c>
      <c r="C120" s="25" t="s">
        <v>436</v>
      </c>
      <c r="D120" s="25" t="str">
        <f>"Ranburne High School"</f>
        <v>Ranburne High School</v>
      </c>
      <c r="E120" s="25" t="str">
        <f t="shared" si="18"/>
        <v>Schoolwide</v>
      </c>
    </row>
    <row r="121" spans="1:5" x14ac:dyDescent="0.35">
      <c r="A121" s="29" t="s">
        <v>137</v>
      </c>
      <c r="B121" s="25" t="str">
        <f>"Coffee County"</f>
        <v>Coffee County</v>
      </c>
      <c r="C121" s="25" t="s">
        <v>437</v>
      </c>
      <c r="D121" s="25" t="str">
        <f>"Kinston School"</f>
        <v>Kinston School</v>
      </c>
      <c r="E121" s="25" t="str">
        <f t="shared" si="16"/>
        <v>Schoolwide</v>
      </c>
    </row>
    <row r="122" spans="1:5" x14ac:dyDescent="0.35">
      <c r="A122" s="29" t="s">
        <v>137</v>
      </c>
      <c r="B122" s="25" t="str">
        <f>"Coffee County"</f>
        <v>Coffee County</v>
      </c>
      <c r="C122" s="25" t="s">
        <v>438</v>
      </c>
      <c r="D122" s="25" t="str">
        <f>"New Brockton Elementary School"</f>
        <v>New Brockton Elementary School</v>
      </c>
      <c r="E122" s="25" t="str">
        <f t="shared" si="16"/>
        <v>Schoolwide</v>
      </c>
    </row>
    <row r="123" spans="1:5" x14ac:dyDescent="0.35">
      <c r="A123" s="29" t="s">
        <v>137</v>
      </c>
      <c r="B123" s="25" t="str">
        <f>"Coffee County"</f>
        <v>Coffee County</v>
      </c>
      <c r="C123" s="25" t="s">
        <v>439</v>
      </c>
      <c r="D123" s="25" t="str">
        <f>"New Brockton High School"</f>
        <v>New Brockton High School</v>
      </c>
      <c r="E123" s="25" t="str">
        <f t="shared" si="16"/>
        <v>Schoolwide</v>
      </c>
    </row>
    <row r="124" spans="1:5" x14ac:dyDescent="0.35">
      <c r="A124" s="29" t="s">
        <v>137</v>
      </c>
      <c r="B124" s="25" t="str">
        <f>"Coffee County"</f>
        <v>Coffee County</v>
      </c>
      <c r="C124" s="25" t="s">
        <v>440</v>
      </c>
      <c r="D124" s="25" t="str">
        <f>"Zion Chapel High School"</f>
        <v>Zion Chapel High School</v>
      </c>
      <c r="E124" s="25" t="str">
        <f t="shared" si="16"/>
        <v>Schoolwide</v>
      </c>
    </row>
    <row r="125" spans="1:5" x14ac:dyDescent="0.35">
      <c r="A125" s="29" t="s">
        <v>23</v>
      </c>
      <c r="B125" s="25" t="str">
        <f t="shared" ref="B125:B130" si="19">"Colbert County"</f>
        <v>Colbert County</v>
      </c>
      <c r="C125" s="25" t="s">
        <v>441</v>
      </c>
      <c r="D125" s="25" t="str">
        <f>"Cherokee Elementary School"</f>
        <v>Cherokee Elementary School</v>
      </c>
      <c r="E125" s="25" t="str">
        <f t="shared" si="16"/>
        <v>Schoolwide</v>
      </c>
    </row>
    <row r="126" spans="1:5" x14ac:dyDescent="0.35">
      <c r="A126" s="29" t="s">
        <v>23</v>
      </c>
      <c r="B126" s="25" t="str">
        <f t="shared" si="19"/>
        <v>Colbert County</v>
      </c>
      <c r="C126" s="25" t="s">
        <v>442</v>
      </c>
      <c r="D126" s="25" t="str">
        <f>"Cherokee High School"</f>
        <v>Cherokee High School</v>
      </c>
      <c r="E126" s="25" t="str">
        <f t="shared" si="16"/>
        <v>Schoolwide</v>
      </c>
    </row>
    <row r="127" spans="1:5" x14ac:dyDescent="0.35">
      <c r="A127" s="29" t="s">
        <v>23</v>
      </c>
      <c r="B127" s="25" t="str">
        <f t="shared" si="19"/>
        <v>Colbert County</v>
      </c>
      <c r="C127" s="25" t="s">
        <v>443</v>
      </c>
      <c r="D127" s="25" t="str">
        <f>"Colbert Heights Elementary School"</f>
        <v>Colbert Heights Elementary School</v>
      </c>
      <c r="E127" s="25" t="str">
        <f t="shared" si="16"/>
        <v>Schoolwide</v>
      </c>
    </row>
    <row r="128" spans="1:5" x14ac:dyDescent="0.35">
      <c r="A128" s="29" t="s">
        <v>23</v>
      </c>
      <c r="B128" s="25" t="str">
        <f t="shared" si="19"/>
        <v>Colbert County</v>
      </c>
      <c r="C128" s="25" t="s">
        <v>444</v>
      </c>
      <c r="D128" s="25" t="str">
        <f>"Hatton Elementary School"</f>
        <v>Hatton Elementary School</v>
      </c>
      <c r="E128" s="25" t="str">
        <f t="shared" si="16"/>
        <v>Schoolwide</v>
      </c>
    </row>
    <row r="129" spans="1:5" x14ac:dyDescent="0.35">
      <c r="A129" s="29" t="s">
        <v>23</v>
      </c>
      <c r="B129" s="25" t="str">
        <f t="shared" si="19"/>
        <v>Colbert County</v>
      </c>
      <c r="C129" s="25" t="s">
        <v>445</v>
      </c>
      <c r="D129" s="25" t="str">
        <f>"Leighton Elementary School"</f>
        <v>Leighton Elementary School</v>
      </c>
      <c r="E129" s="25" t="str">
        <f t="shared" si="16"/>
        <v>Schoolwide</v>
      </c>
    </row>
    <row r="130" spans="1:5" x14ac:dyDescent="0.35">
      <c r="A130" s="29" t="s">
        <v>23</v>
      </c>
      <c r="B130" s="25" t="str">
        <f t="shared" si="19"/>
        <v>Colbert County</v>
      </c>
      <c r="C130" s="25" t="s">
        <v>446</v>
      </c>
      <c r="D130" s="25" t="str">
        <f>"New Bethel Elementary School"</f>
        <v>New Bethel Elementary School</v>
      </c>
      <c r="E130" s="25" t="str">
        <f t="shared" si="16"/>
        <v>Schoolwide</v>
      </c>
    </row>
    <row r="131" spans="1:5" x14ac:dyDescent="0.35">
      <c r="A131" s="29" t="s">
        <v>196</v>
      </c>
      <c r="B131" s="25" t="str">
        <f t="shared" ref="B131:B136" si="20">"Conecuh County"</f>
        <v>Conecuh County</v>
      </c>
      <c r="C131" s="25" t="s">
        <v>447</v>
      </c>
      <c r="D131" s="25" t="str">
        <f>"Conecuh County Junior High School"</f>
        <v>Conecuh County Junior High School</v>
      </c>
      <c r="E131" s="25" t="str">
        <f t="shared" ref="E131:E136" si="21">"Schoolwide"</f>
        <v>Schoolwide</v>
      </c>
    </row>
    <row r="132" spans="1:5" x14ac:dyDescent="0.35">
      <c r="A132" s="29" t="s">
        <v>196</v>
      </c>
      <c r="B132" s="25" t="str">
        <f t="shared" si="20"/>
        <v>Conecuh County</v>
      </c>
      <c r="C132" s="25" t="s">
        <v>448</v>
      </c>
      <c r="D132" s="25" t="str">
        <f>"Evergreen Elementary School"</f>
        <v>Evergreen Elementary School</v>
      </c>
      <c r="E132" s="25" t="str">
        <f t="shared" si="21"/>
        <v>Schoolwide</v>
      </c>
    </row>
    <row r="133" spans="1:5" x14ac:dyDescent="0.35">
      <c r="A133" s="29" t="s">
        <v>196</v>
      </c>
      <c r="B133" s="25" t="str">
        <f t="shared" si="20"/>
        <v>Conecuh County</v>
      </c>
      <c r="C133" s="25" t="s">
        <v>449</v>
      </c>
      <c r="D133" s="25" t="str">
        <f>"Hillcrest High School"</f>
        <v>Hillcrest High School</v>
      </c>
      <c r="E133" s="25" t="str">
        <f t="shared" si="21"/>
        <v>Schoolwide</v>
      </c>
    </row>
    <row r="134" spans="1:5" x14ac:dyDescent="0.35">
      <c r="A134" s="29" t="s">
        <v>196</v>
      </c>
      <c r="B134" s="25" t="str">
        <f t="shared" si="20"/>
        <v>Conecuh County</v>
      </c>
      <c r="C134" s="25" t="s">
        <v>450</v>
      </c>
      <c r="D134" s="25" t="str">
        <f>"Lyeffion Junior High School"</f>
        <v>Lyeffion Junior High School</v>
      </c>
      <c r="E134" s="25" t="str">
        <f t="shared" si="21"/>
        <v>Schoolwide</v>
      </c>
    </row>
    <row r="135" spans="1:5" x14ac:dyDescent="0.35">
      <c r="A135" s="29" t="s">
        <v>196</v>
      </c>
      <c r="B135" s="25" t="str">
        <f t="shared" si="20"/>
        <v>Conecuh County</v>
      </c>
      <c r="C135" s="25" t="s">
        <v>451</v>
      </c>
      <c r="D135" s="25" t="str">
        <f>"Thurgood Marshall Middle School"</f>
        <v>Thurgood Marshall Middle School</v>
      </c>
      <c r="E135" s="25" t="str">
        <f t="shared" si="21"/>
        <v>Schoolwide</v>
      </c>
    </row>
    <row r="136" spans="1:5" x14ac:dyDescent="0.35">
      <c r="A136" s="29" t="s">
        <v>196</v>
      </c>
      <c r="B136" s="25" t="str">
        <f t="shared" si="20"/>
        <v>Conecuh County</v>
      </c>
      <c r="C136" s="25" t="s">
        <v>452</v>
      </c>
      <c r="D136" s="25" t="str">
        <f>"Repton Junior High School"</f>
        <v>Repton Junior High School</v>
      </c>
      <c r="E136" s="25" t="str">
        <f t="shared" si="21"/>
        <v>Schoolwide</v>
      </c>
    </row>
    <row r="137" spans="1:5" x14ac:dyDescent="0.35">
      <c r="A137" s="29" t="s">
        <v>198</v>
      </c>
      <c r="B137" s="25" t="str">
        <f>"Coosa County"</f>
        <v>Coosa County</v>
      </c>
      <c r="C137" s="25" t="s">
        <v>453</v>
      </c>
      <c r="D137" s="25" t="str">
        <f>"Central Elementary School"</f>
        <v>Central Elementary School</v>
      </c>
      <c r="E137" s="25" t="str">
        <f t="shared" si="16"/>
        <v>Schoolwide</v>
      </c>
    </row>
    <row r="138" spans="1:5" x14ac:dyDescent="0.35">
      <c r="A138" s="29" t="s">
        <v>198</v>
      </c>
      <c r="B138" s="25" t="str">
        <f>"Coosa County"</f>
        <v>Coosa County</v>
      </c>
      <c r="C138" s="25" t="s">
        <v>454</v>
      </c>
      <c r="D138" s="25" t="str">
        <f>"Central High School"</f>
        <v>Central High School</v>
      </c>
      <c r="E138" s="25" t="str">
        <f t="shared" si="16"/>
        <v>Schoolwide</v>
      </c>
    </row>
    <row r="139" spans="1:5" x14ac:dyDescent="0.35">
      <c r="A139" s="29" t="s">
        <v>119</v>
      </c>
      <c r="B139" s="25" t="str">
        <f t="shared" ref="B139:B147" si="22">"Covington County"</f>
        <v>Covington County</v>
      </c>
      <c r="C139" s="25" t="s">
        <v>455</v>
      </c>
      <c r="D139" s="25" t="str">
        <f>"Fleeta School"</f>
        <v>Fleeta School</v>
      </c>
      <c r="E139" s="25" t="str">
        <f t="shared" ref="E139:E147" si="23">"Schoolwide"</f>
        <v>Schoolwide</v>
      </c>
    </row>
    <row r="140" spans="1:5" x14ac:dyDescent="0.35">
      <c r="A140" s="29" t="s">
        <v>119</v>
      </c>
      <c r="B140" s="25" t="str">
        <f t="shared" si="22"/>
        <v>Covington County</v>
      </c>
      <c r="C140" s="25" t="s">
        <v>456</v>
      </c>
      <c r="D140" s="25" t="str">
        <f>"Florala High School"</f>
        <v>Florala High School</v>
      </c>
      <c r="E140" s="25" t="str">
        <f t="shared" si="23"/>
        <v>Schoolwide</v>
      </c>
    </row>
    <row r="141" spans="1:5" x14ac:dyDescent="0.35">
      <c r="A141" s="29" t="s">
        <v>119</v>
      </c>
      <c r="B141" s="25" t="str">
        <f t="shared" si="22"/>
        <v>Covington County</v>
      </c>
      <c r="C141" s="25" t="s">
        <v>457</v>
      </c>
      <c r="D141" s="25" t="str">
        <f>"Pleasant Home School"</f>
        <v>Pleasant Home School</v>
      </c>
      <c r="E141" s="25" t="str">
        <f t="shared" si="23"/>
        <v>Schoolwide</v>
      </c>
    </row>
    <row r="142" spans="1:5" x14ac:dyDescent="0.35">
      <c r="A142" s="29" t="s">
        <v>119</v>
      </c>
      <c r="B142" s="25" t="str">
        <f t="shared" si="22"/>
        <v>Covington County</v>
      </c>
      <c r="C142" s="25" t="s">
        <v>458</v>
      </c>
      <c r="D142" s="25" t="str">
        <f>"Red Level High School"</f>
        <v>Red Level High School</v>
      </c>
      <c r="E142" s="25" t="str">
        <f t="shared" si="23"/>
        <v>Schoolwide</v>
      </c>
    </row>
    <row r="143" spans="1:5" x14ac:dyDescent="0.35">
      <c r="A143" s="29" t="s">
        <v>119</v>
      </c>
      <c r="B143" s="25" t="str">
        <f t="shared" si="22"/>
        <v>Covington County</v>
      </c>
      <c r="C143" s="25" t="s">
        <v>459</v>
      </c>
      <c r="D143" s="25" t="str">
        <f>"Red Level Elementary School"</f>
        <v>Red Level Elementary School</v>
      </c>
      <c r="E143" s="25" t="str">
        <f t="shared" si="23"/>
        <v>Schoolwide</v>
      </c>
    </row>
    <row r="144" spans="1:5" x14ac:dyDescent="0.35">
      <c r="A144" s="29" t="s">
        <v>119</v>
      </c>
      <c r="B144" s="25" t="str">
        <f t="shared" si="22"/>
        <v>Covington County</v>
      </c>
      <c r="C144" s="25" t="s">
        <v>460</v>
      </c>
      <c r="D144" s="25" t="str">
        <f>"Straughn Elementary School"</f>
        <v>Straughn Elementary School</v>
      </c>
      <c r="E144" s="25" t="str">
        <f t="shared" si="23"/>
        <v>Schoolwide</v>
      </c>
    </row>
    <row r="145" spans="1:5" x14ac:dyDescent="0.35">
      <c r="A145" s="29" t="s">
        <v>119</v>
      </c>
      <c r="B145" s="25" t="str">
        <f t="shared" si="22"/>
        <v>Covington County</v>
      </c>
      <c r="C145" s="25" t="s">
        <v>461</v>
      </c>
      <c r="D145" s="25" t="str">
        <f>"Straughn Middle School"</f>
        <v>Straughn Middle School</v>
      </c>
      <c r="E145" s="25" t="str">
        <f t="shared" si="23"/>
        <v>Schoolwide</v>
      </c>
    </row>
    <row r="146" spans="1:5" x14ac:dyDescent="0.35">
      <c r="A146" s="29" t="s">
        <v>119</v>
      </c>
      <c r="B146" s="25" t="str">
        <f t="shared" si="22"/>
        <v>Covington County</v>
      </c>
      <c r="C146" s="25" t="s">
        <v>462</v>
      </c>
      <c r="D146" s="25" t="str">
        <f>"Straughn High School"</f>
        <v>Straughn High School</v>
      </c>
      <c r="E146" s="25" t="str">
        <f t="shared" si="23"/>
        <v>Schoolwide</v>
      </c>
    </row>
    <row r="147" spans="1:5" x14ac:dyDescent="0.35">
      <c r="A147" s="29" t="s">
        <v>119</v>
      </c>
      <c r="B147" s="25" t="str">
        <f t="shared" si="22"/>
        <v>Covington County</v>
      </c>
      <c r="C147" s="25" t="s">
        <v>463</v>
      </c>
      <c r="D147" s="25" t="str">
        <f>"WS Harlan Elementary School"</f>
        <v>WS Harlan Elementary School</v>
      </c>
      <c r="E147" s="25" t="str">
        <f t="shared" si="23"/>
        <v>Schoolwide</v>
      </c>
    </row>
    <row r="148" spans="1:5" x14ac:dyDescent="0.35">
      <c r="A148" s="29" t="s">
        <v>200</v>
      </c>
      <c r="B148" s="25" t="str">
        <f>"Crenshaw County"</f>
        <v>Crenshaw County</v>
      </c>
      <c r="C148" s="25" t="s">
        <v>464</v>
      </c>
      <c r="D148" s="25" t="str">
        <f>"Brantley High School"</f>
        <v>Brantley High School</v>
      </c>
      <c r="E148" s="25" t="str">
        <f t="shared" ref="E148:E174" si="24">"Schoolwide"</f>
        <v>Schoolwide</v>
      </c>
    </row>
    <row r="149" spans="1:5" x14ac:dyDescent="0.35">
      <c r="A149" s="29" t="s">
        <v>200</v>
      </c>
      <c r="B149" s="25" t="str">
        <f>"Crenshaw County"</f>
        <v>Crenshaw County</v>
      </c>
      <c r="C149" s="25" t="s">
        <v>465</v>
      </c>
      <c r="D149" s="25" t="str">
        <f>"Highland Home School"</f>
        <v>Highland Home School</v>
      </c>
      <c r="E149" s="25" t="str">
        <f t="shared" si="24"/>
        <v>Schoolwide</v>
      </c>
    </row>
    <row r="150" spans="1:5" x14ac:dyDescent="0.35">
      <c r="A150" s="29" t="s">
        <v>200</v>
      </c>
      <c r="B150" s="25" t="str">
        <f>"Crenshaw County"</f>
        <v>Crenshaw County</v>
      </c>
      <c r="C150" s="25" t="s">
        <v>466</v>
      </c>
      <c r="D150" s="25" t="str">
        <f>"Luverne High School"</f>
        <v>Luverne High School</v>
      </c>
      <c r="E150" s="25" t="str">
        <f t="shared" si="24"/>
        <v>Schoolwide</v>
      </c>
    </row>
    <row r="151" spans="1:5" x14ac:dyDescent="0.35">
      <c r="A151" s="29" t="s">
        <v>127</v>
      </c>
      <c r="B151" s="25" t="str">
        <f t="shared" ref="B151:B168" si="25">"Cullman County"</f>
        <v>Cullman County</v>
      </c>
      <c r="C151" s="25" t="s">
        <v>467</v>
      </c>
      <c r="D151" s="25" t="str">
        <f>"Parkside Elementary School"</f>
        <v>Parkside Elementary School</v>
      </c>
      <c r="E151" s="25" t="str">
        <f t="shared" ref="E151:E168" si="26">"Schoolwide"</f>
        <v>Schoolwide</v>
      </c>
    </row>
    <row r="152" spans="1:5" x14ac:dyDescent="0.35">
      <c r="A152" s="29" t="s">
        <v>127</v>
      </c>
      <c r="B152" s="25" t="str">
        <f t="shared" si="25"/>
        <v>Cullman County</v>
      </c>
      <c r="C152" s="25" t="s">
        <v>468</v>
      </c>
      <c r="D152" s="25" t="str">
        <f>"Cold Springs Elementary School"</f>
        <v>Cold Springs Elementary School</v>
      </c>
      <c r="E152" s="25" t="str">
        <f t="shared" si="26"/>
        <v>Schoolwide</v>
      </c>
    </row>
    <row r="153" spans="1:5" x14ac:dyDescent="0.35">
      <c r="A153" s="29" t="s">
        <v>127</v>
      </c>
      <c r="B153" s="25" t="str">
        <f t="shared" si="25"/>
        <v>Cullman County</v>
      </c>
      <c r="C153" s="25" t="s">
        <v>469</v>
      </c>
      <c r="D153" s="25" t="str">
        <f>"Fairview Elementary School"</f>
        <v>Fairview Elementary School</v>
      </c>
      <c r="E153" s="25" t="str">
        <f t="shared" si="26"/>
        <v>Schoolwide</v>
      </c>
    </row>
    <row r="154" spans="1:5" x14ac:dyDescent="0.35">
      <c r="A154" s="29" t="s">
        <v>127</v>
      </c>
      <c r="B154" s="25" t="str">
        <f t="shared" si="25"/>
        <v>Cullman County</v>
      </c>
      <c r="C154" s="25" t="s">
        <v>470</v>
      </c>
      <c r="D154" s="25" t="str">
        <f>"Fairview Middle School"</f>
        <v>Fairview Middle School</v>
      </c>
      <c r="E154" s="25" t="str">
        <f t="shared" si="26"/>
        <v>Schoolwide</v>
      </c>
    </row>
    <row r="155" spans="1:5" x14ac:dyDescent="0.35">
      <c r="A155" s="29" t="s">
        <v>127</v>
      </c>
      <c r="B155" s="25" t="str">
        <f t="shared" si="25"/>
        <v>Cullman County</v>
      </c>
      <c r="C155" s="25" t="s">
        <v>471</v>
      </c>
      <c r="D155" s="25" t="str">
        <f>"Good Hope Elementary School"</f>
        <v>Good Hope Elementary School</v>
      </c>
      <c r="E155" s="25" t="str">
        <f t="shared" si="26"/>
        <v>Schoolwide</v>
      </c>
    </row>
    <row r="156" spans="1:5" x14ac:dyDescent="0.35">
      <c r="A156" s="29" t="s">
        <v>127</v>
      </c>
      <c r="B156" s="25" t="str">
        <f t="shared" si="25"/>
        <v>Cullman County</v>
      </c>
      <c r="C156" s="25" t="s">
        <v>472</v>
      </c>
      <c r="D156" s="25" t="str">
        <f>"Good Hope Middle School"</f>
        <v>Good Hope Middle School</v>
      </c>
      <c r="E156" s="25" t="str">
        <f t="shared" si="26"/>
        <v>Schoolwide</v>
      </c>
    </row>
    <row r="157" spans="1:5" x14ac:dyDescent="0.35">
      <c r="A157" s="29" t="s">
        <v>127</v>
      </c>
      <c r="B157" s="25" t="str">
        <f t="shared" si="25"/>
        <v>Cullman County</v>
      </c>
      <c r="C157" s="25" t="s">
        <v>473</v>
      </c>
      <c r="D157" s="25" t="str">
        <f>"Good Hope Primary School"</f>
        <v>Good Hope Primary School</v>
      </c>
      <c r="E157" s="25" t="str">
        <f t="shared" si="26"/>
        <v>Schoolwide</v>
      </c>
    </row>
    <row r="158" spans="1:5" x14ac:dyDescent="0.35">
      <c r="A158" s="29" t="s">
        <v>127</v>
      </c>
      <c r="B158" s="25" t="str">
        <f t="shared" si="25"/>
        <v>Cullman County</v>
      </c>
      <c r="C158" s="25" t="s">
        <v>474</v>
      </c>
      <c r="D158" s="25" t="str">
        <f>"Harmony School"</f>
        <v>Harmony School</v>
      </c>
      <c r="E158" s="25" t="str">
        <f t="shared" si="26"/>
        <v>Schoolwide</v>
      </c>
    </row>
    <row r="159" spans="1:5" x14ac:dyDescent="0.35">
      <c r="A159" s="29" t="s">
        <v>127</v>
      </c>
      <c r="B159" s="25" t="str">
        <f t="shared" si="25"/>
        <v>Cullman County</v>
      </c>
      <c r="C159" s="25" t="s">
        <v>475</v>
      </c>
      <c r="D159" s="25" t="str">
        <f>"Hanceville Elementary School"</f>
        <v>Hanceville Elementary School</v>
      </c>
      <c r="E159" s="25" t="str">
        <f t="shared" si="26"/>
        <v>Schoolwide</v>
      </c>
    </row>
    <row r="160" spans="1:5" x14ac:dyDescent="0.35">
      <c r="A160" s="29" t="s">
        <v>127</v>
      </c>
      <c r="B160" s="25" t="str">
        <f t="shared" si="25"/>
        <v>Cullman County</v>
      </c>
      <c r="C160" s="25" t="s">
        <v>476</v>
      </c>
      <c r="D160" s="25" t="str">
        <f>"Hanceville Middle School"</f>
        <v>Hanceville Middle School</v>
      </c>
      <c r="E160" s="25" t="str">
        <f t="shared" si="26"/>
        <v>Schoolwide</v>
      </c>
    </row>
    <row r="161" spans="1:5" x14ac:dyDescent="0.35">
      <c r="A161" s="29" t="s">
        <v>127</v>
      </c>
      <c r="B161" s="25" t="str">
        <f t="shared" si="25"/>
        <v>Cullman County</v>
      </c>
      <c r="C161" s="25" t="s">
        <v>477</v>
      </c>
      <c r="D161" s="25" t="str">
        <f>"Holly Pond Elementary School"</f>
        <v>Holly Pond Elementary School</v>
      </c>
      <c r="E161" s="25" t="str">
        <f t="shared" si="26"/>
        <v>Schoolwide</v>
      </c>
    </row>
    <row r="162" spans="1:5" x14ac:dyDescent="0.35">
      <c r="A162" s="29" t="s">
        <v>127</v>
      </c>
      <c r="B162" s="25" t="str">
        <f t="shared" si="25"/>
        <v>Cullman County</v>
      </c>
      <c r="C162" s="25" t="s">
        <v>478</v>
      </c>
      <c r="D162" s="25" t="str">
        <f>"Holly Pond Middle"</f>
        <v>Holly Pond Middle</v>
      </c>
      <c r="E162" s="25" t="str">
        <f t="shared" si="26"/>
        <v>Schoolwide</v>
      </c>
    </row>
    <row r="163" spans="1:5" x14ac:dyDescent="0.35">
      <c r="A163" s="29" t="s">
        <v>127</v>
      </c>
      <c r="B163" s="25" t="str">
        <f t="shared" si="25"/>
        <v>Cullman County</v>
      </c>
      <c r="C163" s="25" t="s">
        <v>479</v>
      </c>
      <c r="D163" s="25" t="str">
        <f>"Vinemont Elementary School"</f>
        <v>Vinemont Elementary School</v>
      </c>
      <c r="E163" s="25" t="str">
        <f t="shared" si="26"/>
        <v>Schoolwide</v>
      </c>
    </row>
    <row r="164" spans="1:5" x14ac:dyDescent="0.35">
      <c r="A164" s="29" t="s">
        <v>127</v>
      </c>
      <c r="B164" s="25" t="str">
        <f t="shared" si="25"/>
        <v>Cullman County</v>
      </c>
      <c r="C164" s="25" t="s">
        <v>480</v>
      </c>
      <c r="D164" s="25" t="str">
        <f>"Vinemont Middle School"</f>
        <v>Vinemont Middle School</v>
      </c>
      <c r="E164" s="25" t="str">
        <f t="shared" si="26"/>
        <v>Schoolwide</v>
      </c>
    </row>
    <row r="165" spans="1:5" x14ac:dyDescent="0.35">
      <c r="A165" s="29" t="s">
        <v>127</v>
      </c>
      <c r="B165" s="25" t="str">
        <f t="shared" si="25"/>
        <v>Cullman County</v>
      </c>
      <c r="C165" s="25" t="s">
        <v>481</v>
      </c>
      <c r="D165" s="25" t="str">
        <f>"Welti Elementary School"</f>
        <v>Welti Elementary School</v>
      </c>
      <c r="E165" s="25" t="str">
        <f t="shared" si="26"/>
        <v>Schoolwide</v>
      </c>
    </row>
    <row r="166" spans="1:5" x14ac:dyDescent="0.35">
      <c r="A166" s="29" t="s">
        <v>127</v>
      </c>
      <c r="B166" s="25" t="str">
        <f t="shared" si="25"/>
        <v>Cullman County</v>
      </c>
      <c r="C166" s="25" t="s">
        <v>482</v>
      </c>
      <c r="D166" s="25" t="str">
        <f>"West Point Elementary School"</f>
        <v>West Point Elementary School</v>
      </c>
      <c r="E166" s="25" t="str">
        <f t="shared" si="26"/>
        <v>Schoolwide</v>
      </c>
    </row>
    <row r="167" spans="1:5" x14ac:dyDescent="0.35">
      <c r="A167" s="29" t="s">
        <v>127</v>
      </c>
      <c r="B167" s="25" t="str">
        <f t="shared" si="25"/>
        <v>Cullman County</v>
      </c>
      <c r="C167" s="25" t="s">
        <v>483</v>
      </c>
      <c r="D167" s="25" t="str">
        <f>"West Point Middle School"</f>
        <v>West Point Middle School</v>
      </c>
      <c r="E167" s="25" t="str">
        <f t="shared" si="26"/>
        <v>Schoolwide</v>
      </c>
    </row>
    <row r="168" spans="1:5" x14ac:dyDescent="0.35">
      <c r="A168" s="29" t="s">
        <v>127</v>
      </c>
      <c r="B168" s="25" t="str">
        <f t="shared" si="25"/>
        <v>Cullman County</v>
      </c>
      <c r="C168" s="25" t="s">
        <v>484</v>
      </c>
      <c r="D168" s="25" t="str">
        <f>"West Point Intermediate School"</f>
        <v>West Point Intermediate School</v>
      </c>
      <c r="E168" s="25" t="str">
        <f t="shared" si="26"/>
        <v>Schoolwide</v>
      </c>
    </row>
    <row r="169" spans="1:5" x14ac:dyDescent="0.35">
      <c r="A169" s="29" t="s">
        <v>125</v>
      </c>
      <c r="B169" s="25" t="str">
        <f t="shared" ref="B169:B174" si="27">"Dale County"</f>
        <v>Dale County</v>
      </c>
      <c r="C169" s="25" t="s">
        <v>485</v>
      </c>
      <c r="D169" s="25" t="str">
        <f>"Ariton School"</f>
        <v>Ariton School</v>
      </c>
      <c r="E169" s="25" t="str">
        <f t="shared" si="24"/>
        <v>Schoolwide</v>
      </c>
    </row>
    <row r="170" spans="1:5" x14ac:dyDescent="0.35">
      <c r="A170" s="29" t="s">
        <v>125</v>
      </c>
      <c r="B170" s="25" t="str">
        <f t="shared" si="27"/>
        <v>Dale County</v>
      </c>
      <c r="C170" s="25" t="s">
        <v>486</v>
      </c>
      <c r="D170" s="25" t="str">
        <f>"Dale County High School"</f>
        <v>Dale County High School</v>
      </c>
      <c r="E170" s="25" t="str">
        <f t="shared" si="24"/>
        <v>Schoolwide</v>
      </c>
    </row>
    <row r="171" spans="1:5" x14ac:dyDescent="0.35">
      <c r="A171" s="29" t="s">
        <v>125</v>
      </c>
      <c r="B171" s="25" t="str">
        <f t="shared" si="27"/>
        <v>Dale County</v>
      </c>
      <c r="C171" s="25" t="s">
        <v>487</v>
      </c>
      <c r="D171" s="25" t="str">
        <f>"GW Long Elementary School"</f>
        <v>GW Long Elementary School</v>
      </c>
      <c r="E171" s="25" t="str">
        <f t="shared" si="24"/>
        <v>Schoolwide</v>
      </c>
    </row>
    <row r="172" spans="1:5" x14ac:dyDescent="0.35">
      <c r="A172" s="29" t="s">
        <v>125</v>
      </c>
      <c r="B172" s="25" t="str">
        <f t="shared" si="27"/>
        <v>Dale County</v>
      </c>
      <c r="C172" s="25" t="s">
        <v>488</v>
      </c>
      <c r="D172" s="25" t="str">
        <f>"Midland City Elementary School"</f>
        <v>Midland City Elementary School</v>
      </c>
      <c r="E172" s="25" t="str">
        <f t="shared" si="24"/>
        <v>Schoolwide</v>
      </c>
    </row>
    <row r="173" spans="1:5" x14ac:dyDescent="0.35">
      <c r="A173" s="29" t="s">
        <v>125</v>
      </c>
      <c r="B173" s="25" t="str">
        <f t="shared" si="27"/>
        <v>Dale County</v>
      </c>
      <c r="C173" s="25" t="s">
        <v>489</v>
      </c>
      <c r="D173" s="25" t="str">
        <f>"Newton Elementary School"</f>
        <v>Newton Elementary School</v>
      </c>
      <c r="E173" s="25" t="str">
        <f t="shared" si="24"/>
        <v>Schoolwide</v>
      </c>
    </row>
    <row r="174" spans="1:5" x14ac:dyDescent="0.35">
      <c r="A174" s="29" t="s">
        <v>125</v>
      </c>
      <c r="B174" s="25" t="str">
        <f t="shared" si="27"/>
        <v>Dale County</v>
      </c>
      <c r="C174" s="25" t="s">
        <v>490</v>
      </c>
      <c r="D174" s="25" t="str">
        <f>"South Dale Middle School"</f>
        <v>South Dale Middle School</v>
      </c>
      <c r="E174" s="25" t="str">
        <f t="shared" si="24"/>
        <v>Schoolwide</v>
      </c>
    </row>
    <row r="175" spans="1:5" x14ac:dyDescent="0.35">
      <c r="A175" s="29" t="s">
        <v>55</v>
      </c>
      <c r="B175" s="25" t="str">
        <f t="shared" ref="B175:B185" si="28">"Dallas County"</f>
        <v>Dallas County</v>
      </c>
      <c r="C175" s="25" t="s">
        <v>491</v>
      </c>
      <c r="D175" s="25" t="str">
        <f>"Brantley Elementary School"</f>
        <v>Brantley Elementary School</v>
      </c>
      <c r="E175" s="25" t="str">
        <f t="shared" ref="E175:E205" si="29">"Schoolwide"</f>
        <v>Schoolwide</v>
      </c>
    </row>
    <row r="176" spans="1:5" x14ac:dyDescent="0.35">
      <c r="A176" s="29" t="s">
        <v>55</v>
      </c>
      <c r="B176" s="25" t="str">
        <f t="shared" si="28"/>
        <v>Dallas County</v>
      </c>
      <c r="C176" s="25" t="s">
        <v>492</v>
      </c>
      <c r="D176" s="25" t="str">
        <f>"Dallas County High School"</f>
        <v>Dallas County High School</v>
      </c>
      <c r="E176" s="25" t="str">
        <f t="shared" si="29"/>
        <v>Schoolwide</v>
      </c>
    </row>
    <row r="177" spans="1:5" x14ac:dyDescent="0.35">
      <c r="A177" s="29" t="s">
        <v>55</v>
      </c>
      <c r="B177" s="25" t="str">
        <f t="shared" si="28"/>
        <v>Dallas County</v>
      </c>
      <c r="C177" s="25" t="s">
        <v>493</v>
      </c>
      <c r="D177" s="25" t="str">
        <f>"JE Terry Elementary School"</f>
        <v>JE Terry Elementary School</v>
      </c>
      <c r="E177" s="25" t="str">
        <f t="shared" si="29"/>
        <v>Schoolwide</v>
      </c>
    </row>
    <row r="178" spans="1:5" x14ac:dyDescent="0.35">
      <c r="A178" s="29" t="s">
        <v>55</v>
      </c>
      <c r="B178" s="25" t="str">
        <f t="shared" si="28"/>
        <v>Dallas County</v>
      </c>
      <c r="C178" s="25" t="s">
        <v>494</v>
      </c>
      <c r="D178" s="25" t="str">
        <f>"Keith Middle-High School"</f>
        <v>Keith Middle-High School</v>
      </c>
      <c r="E178" s="25" t="str">
        <f t="shared" si="29"/>
        <v>Schoolwide</v>
      </c>
    </row>
    <row r="179" spans="1:5" x14ac:dyDescent="0.35">
      <c r="A179" s="29" t="s">
        <v>55</v>
      </c>
      <c r="B179" s="25" t="str">
        <f t="shared" si="28"/>
        <v>Dallas County</v>
      </c>
      <c r="C179" s="25" t="s">
        <v>495</v>
      </c>
      <c r="D179" s="25" t="str">
        <f>"Salem Elementary School"</f>
        <v>Salem Elementary School</v>
      </c>
      <c r="E179" s="25" t="str">
        <f t="shared" si="29"/>
        <v>Schoolwide</v>
      </c>
    </row>
    <row r="180" spans="1:5" x14ac:dyDescent="0.35">
      <c r="A180" s="29" t="s">
        <v>55</v>
      </c>
      <c r="B180" s="25" t="str">
        <f t="shared" si="28"/>
        <v>Dallas County</v>
      </c>
      <c r="C180" s="25" t="s">
        <v>496</v>
      </c>
      <c r="D180" s="25" t="str">
        <f>"Southside High School"</f>
        <v>Southside High School</v>
      </c>
      <c r="E180" s="25" t="str">
        <f t="shared" si="29"/>
        <v>Schoolwide</v>
      </c>
    </row>
    <row r="181" spans="1:5" x14ac:dyDescent="0.35">
      <c r="A181" s="29" t="s">
        <v>55</v>
      </c>
      <c r="B181" s="25" t="str">
        <f t="shared" si="28"/>
        <v>Dallas County</v>
      </c>
      <c r="C181" s="25" t="s">
        <v>497</v>
      </c>
      <c r="D181" s="25" t="str">
        <f>"Tipton Durant Middle School"</f>
        <v>Tipton Durant Middle School</v>
      </c>
      <c r="E181" s="25" t="str">
        <f t="shared" si="29"/>
        <v>Schoolwide</v>
      </c>
    </row>
    <row r="182" spans="1:5" x14ac:dyDescent="0.35">
      <c r="A182" s="29" t="s">
        <v>55</v>
      </c>
      <c r="B182" s="25" t="str">
        <f t="shared" si="28"/>
        <v>Dallas County</v>
      </c>
      <c r="C182" s="25" t="s">
        <v>498</v>
      </c>
      <c r="D182" s="25" t="str">
        <f>"Valley Grande Elementary School"</f>
        <v>Valley Grande Elementary School</v>
      </c>
      <c r="E182" s="25" t="str">
        <f t="shared" si="29"/>
        <v>Schoolwide</v>
      </c>
    </row>
    <row r="183" spans="1:5" x14ac:dyDescent="0.35">
      <c r="A183" s="29" t="s">
        <v>55</v>
      </c>
      <c r="B183" s="25" t="str">
        <f t="shared" si="28"/>
        <v>Dallas County</v>
      </c>
      <c r="C183" s="25" t="s">
        <v>499</v>
      </c>
      <c r="D183" s="25" t="str">
        <f>"William R Martin Middle School"</f>
        <v>William R Martin Middle School</v>
      </c>
      <c r="E183" s="25" t="str">
        <f t="shared" si="29"/>
        <v>Schoolwide</v>
      </c>
    </row>
    <row r="184" spans="1:5" x14ac:dyDescent="0.35">
      <c r="A184" s="29" t="s">
        <v>55</v>
      </c>
      <c r="B184" s="25" t="str">
        <f t="shared" si="28"/>
        <v>Dallas County</v>
      </c>
      <c r="C184" s="25" t="s">
        <v>500</v>
      </c>
      <c r="D184" s="25" t="str">
        <f>"Southside Primary School"</f>
        <v>Southside Primary School</v>
      </c>
      <c r="E184" s="25" t="str">
        <f t="shared" si="29"/>
        <v>Schoolwide</v>
      </c>
    </row>
    <row r="185" spans="1:5" x14ac:dyDescent="0.35">
      <c r="A185" s="29" t="s">
        <v>55</v>
      </c>
      <c r="B185" s="25" t="str">
        <f t="shared" si="28"/>
        <v>Dallas County</v>
      </c>
      <c r="C185" s="25" t="s">
        <v>501</v>
      </c>
      <c r="D185" s="25" t="str">
        <f>"Bruce K Craig Elementary School"</f>
        <v>Bruce K Craig Elementary School</v>
      </c>
      <c r="E185" s="25" t="str">
        <f t="shared" si="29"/>
        <v>Schoolwide</v>
      </c>
    </row>
    <row r="186" spans="1:5" x14ac:dyDescent="0.35">
      <c r="A186" s="29" t="s">
        <v>135</v>
      </c>
      <c r="B186" s="25" t="str">
        <f t="shared" ref="B186:B198" si="30">"DeKalb County"</f>
        <v>DeKalb County</v>
      </c>
      <c r="C186" s="25" t="s">
        <v>502</v>
      </c>
      <c r="D186" s="25" t="str">
        <f>"Collinsville High School"</f>
        <v>Collinsville High School</v>
      </c>
      <c r="E186" s="25" t="str">
        <f t="shared" si="29"/>
        <v>Schoolwide</v>
      </c>
    </row>
    <row r="187" spans="1:5" x14ac:dyDescent="0.35">
      <c r="A187" s="29" t="s">
        <v>135</v>
      </c>
      <c r="B187" s="25" t="str">
        <f t="shared" si="30"/>
        <v>DeKalb County</v>
      </c>
      <c r="C187" s="25" t="s">
        <v>503</v>
      </c>
      <c r="D187" s="25" t="str">
        <f>"Crossville Elementary School"</f>
        <v>Crossville Elementary School</v>
      </c>
      <c r="E187" s="25" t="str">
        <f t="shared" si="29"/>
        <v>Schoolwide</v>
      </c>
    </row>
    <row r="188" spans="1:5" x14ac:dyDescent="0.35">
      <c r="A188" s="29" t="s">
        <v>135</v>
      </c>
      <c r="B188" s="25" t="str">
        <f t="shared" si="30"/>
        <v>DeKalb County</v>
      </c>
      <c r="C188" s="25" t="s">
        <v>504</v>
      </c>
      <c r="D188" s="25" t="str">
        <f>"Crossville Middle School"</f>
        <v>Crossville Middle School</v>
      </c>
      <c r="E188" s="25" t="str">
        <f t="shared" si="29"/>
        <v>Schoolwide</v>
      </c>
    </row>
    <row r="189" spans="1:5" x14ac:dyDescent="0.35">
      <c r="A189" s="29" t="s">
        <v>135</v>
      </c>
      <c r="B189" s="25" t="str">
        <f t="shared" si="30"/>
        <v>DeKalb County</v>
      </c>
      <c r="C189" s="25" t="s">
        <v>505</v>
      </c>
      <c r="D189" s="25" t="str">
        <f>"Crossville High School"</f>
        <v>Crossville High School</v>
      </c>
      <c r="E189" s="25" t="str">
        <f t="shared" si="29"/>
        <v>Schoolwide</v>
      </c>
    </row>
    <row r="190" spans="1:5" x14ac:dyDescent="0.35">
      <c r="A190" s="29" t="s">
        <v>135</v>
      </c>
      <c r="B190" s="25" t="str">
        <f t="shared" si="30"/>
        <v>DeKalb County</v>
      </c>
      <c r="C190" s="25" t="s">
        <v>506</v>
      </c>
      <c r="D190" s="25" t="str">
        <f>"Fyffe High School"</f>
        <v>Fyffe High School</v>
      </c>
      <c r="E190" s="25" t="str">
        <f t="shared" si="29"/>
        <v>Schoolwide</v>
      </c>
    </row>
    <row r="191" spans="1:5" x14ac:dyDescent="0.35">
      <c r="A191" s="29" t="s">
        <v>135</v>
      </c>
      <c r="B191" s="25" t="str">
        <f t="shared" si="30"/>
        <v>DeKalb County</v>
      </c>
      <c r="C191" s="25" t="s">
        <v>507</v>
      </c>
      <c r="D191" s="25" t="str">
        <f>"Geraldine School"</f>
        <v>Geraldine School</v>
      </c>
      <c r="E191" s="25" t="str">
        <f t="shared" si="29"/>
        <v>Schoolwide</v>
      </c>
    </row>
    <row r="192" spans="1:5" x14ac:dyDescent="0.35">
      <c r="A192" s="29" t="s">
        <v>135</v>
      </c>
      <c r="B192" s="25" t="str">
        <f t="shared" si="30"/>
        <v>DeKalb County</v>
      </c>
      <c r="C192" s="25" t="s">
        <v>508</v>
      </c>
      <c r="D192" s="25" t="str">
        <f>"Henagar Junior High School"</f>
        <v>Henagar Junior High School</v>
      </c>
      <c r="E192" s="25" t="str">
        <f t="shared" si="29"/>
        <v>Schoolwide</v>
      </c>
    </row>
    <row r="193" spans="1:5" x14ac:dyDescent="0.35">
      <c r="A193" s="29" t="s">
        <v>135</v>
      </c>
      <c r="B193" s="25" t="str">
        <f t="shared" si="30"/>
        <v>DeKalb County</v>
      </c>
      <c r="C193" s="25" t="s">
        <v>509</v>
      </c>
      <c r="D193" s="25" t="str">
        <f>"Ider School"</f>
        <v>Ider School</v>
      </c>
      <c r="E193" s="25" t="str">
        <f t="shared" si="29"/>
        <v>Schoolwide</v>
      </c>
    </row>
    <row r="194" spans="1:5" x14ac:dyDescent="0.35">
      <c r="A194" s="29" t="s">
        <v>135</v>
      </c>
      <c r="B194" s="25" t="str">
        <f t="shared" si="30"/>
        <v>DeKalb County</v>
      </c>
      <c r="C194" s="25" t="s">
        <v>510</v>
      </c>
      <c r="D194" s="25" t="str">
        <f>"Moon Lake School"</f>
        <v>Moon Lake School</v>
      </c>
      <c r="E194" s="25" t="str">
        <f t="shared" si="29"/>
        <v>Schoolwide</v>
      </c>
    </row>
    <row r="195" spans="1:5" x14ac:dyDescent="0.35">
      <c r="A195" s="29" t="s">
        <v>135</v>
      </c>
      <c r="B195" s="25" t="str">
        <f t="shared" si="30"/>
        <v>DeKalb County</v>
      </c>
      <c r="C195" s="25" t="s">
        <v>511</v>
      </c>
      <c r="D195" s="25" t="str">
        <f>"Plainview School"</f>
        <v>Plainview School</v>
      </c>
      <c r="E195" s="25" t="str">
        <f t="shared" si="29"/>
        <v>Schoolwide</v>
      </c>
    </row>
    <row r="196" spans="1:5" x14ac:dyDescent="0.35">
      <c r="A196" s="29" t="s">
        <v>135</v>
      </c>
      <c r="B196" s="25" t="str">
        <f t="shared" si="30"/>
        <v>DeKalb County</v>
      </c>
      <c r="C196" s="25" t="s">
        <v>512</v>
      </c>
      <c r="D196" s="25" t="str">
        <f>"Ruhuma Junior High School"</f>
        <v>Ruhuma Junior High School</v>
      </c>
      <c r="E196" s="25" t="str">
        <f t="shared" si="29"/>
        <v>Schoolwide</v>
      </c>
    </row>
    <row r="197" spans="1:5" x14ac:dyDescent="0.35">
      <c r="A197" s="29" t="s">
        <v>135</v>
      </c>
      <c r="B197" s="25" t="str">
        <f t="shared" si="30"/>
        <v>DeKalb County</v>
      </c>
      <c r="C197" s="25" t="s">
        <v>513</v>
      </c>
      <c r="D197" s="25" t="str">
        <f>"Sylvania School"</f>
        <v>Sylvania School</v>
      </c>
      <c r="E197" s="25" t="str">
        <f t="shared" si="29"/>
        <v>Schoolwide</v>
      </c>
    </row>
    <row r="198" spans="1:5" x14ac:dyDescent="0.35">
      <c r="A198" s="29" t="s">
        <v>135</v>
      </c>
      <c r="B198" s="25" t="str">
        <f t="shared" si="30"/>
        <v>DeKalb County</v>
      </c>
      <c r="C198" s="25" t="s">
        <v>514</v>
      </c>
      <c r="D198" s="25" t="str">
        <f>"Valley Head High School"</f>
        <v>Valley Head High School</v>
      </c>
      <c r="E198" s="25" t="str">
        <f t="shared" si="29"/>
        <v>Schoolwide</v>
      </c>
    </row>
    <row r="199" spans="1:5" x14ac:dyDescent="0.35">
      <c r="A199" s="29" t="s">
        <v>202</v>
      </c>
      <c r="B199" s="25" t="str">
        <f t="shared" ref="B199:B207" si="31">"Elmore County"</f>
        <v>Elmore County</v>
      </c>
      <c r="C199" s="25" t="s">
        <v>515</v>
      </c>
      <c r="D199" s="25" t="str">
        <f>"Eclectic Elementary School"</f>
        <v>Eclectic Elementary School</v>
      </c>
      <c r="E199" s="25" t="str">
        <f t="shared" si="29"/>
        <v>Schoolwide</v>
      </c>
    </row>
    <row r="200" spans="1:5" x14ac:dyDescent="0.35">
      <c r="A200" s="29" t="s">
        <v>202</v>
      </c>
      <c r="B200" s="25" t="str">
        <f t="shared" si="31"/>
        <v>Elmore County</v>
      </c>
      <c r="C200" s="25" t="s">
        <v>516</v>
      </c>
      <c r="D200" s="25" t="str">
        <f>"Eclectic Middle School"</f>
        <v>Eclectic Middle School</v>
      </c>
      <c r="E200" s="25" t="str">
        <f t="shared" si="29"/>
        <v>Schoolwide</v>
      </c>
    </row>
    <row r="201" spans="1:5" x14ac:dyDescent="0.35">
      <c r="A201" s="29" t="s">
        <v>202</v>
      </c>
      <c r="B201" s="25" t="str">
        <f t="shared" si="31"/>
        <v>Elmore County</v>
      </c>
      <c r="C201" s="25" t="s">
        <v>517</v>
      </c>
      <c r="D201" s="25" t="str">
        <f>"Holtville Elementary School"</f>
        <v>Holtville Elementary School</v>
      </c>
      <c r="E201" s="25" t="str">
        <f t="shared" si="29"/>
        <v>Schoolwide</v>
      </c>
    </row>
    <row r="202" spans="1:5" x14ac:dyDescent="0.35">
      <c r="A202" s="29" t="s">
        <v>202</v>
      </c>
      <c r="B202" s="25" t="str">
        <f t="shared" si="31"/>
        <v>Elmore County</v>
      </c>
      <c r="C202" s="25" t="s">
        <v>518</v>
      </c>
      <c r="D202" s="25" t="str">
        <f>"Holtville Middle School"</f>
        <v>Holtville Middle School</v>
      </c>
      <c r="E202" s="25" t="str">
        <f t="shared" si="29"/>
        <v>Schoolwide</v>
      </c>
    </row>
    <row r="203" spans="1:5" x14ac:dyDescent="0.35">
      <c r="A203" s="29" t="s">
        <v>202</v>
      </c>
      <c r="B203" s="25" t="str">
        <f t="shared" si="31"/>
        <v>Elmore County</v>
      </c>
      <c r="C203" s="25" t="s">
        <v>519</v>
      </c>
      <c r="D203" s="25" t="str">
        <f>"Millbrook Middle School"</f>
        <v>Millbrook Middle School</v>
      </c>
      <c r="E203" s="25" t="str">
        <f t="shared" si="29"/>
        <v>Schoolwide</v>
      </c>
    </row>
    <row r="204" spans="1:5" x14ac:dyDescent="0.35">
      <c r="A204" s="29" t="s">
        <v>202</v>
      </c>
      <c r="B204" s="25" t="str">
        <f t="shared" si="31"/>
        <v>Elmore County</v>
      </c>
      <c r="C204" s="25" t="s">
        <v>520</v>
      </c>
      <c r="D204" s="25" t="str">
        <f>"Coosada Elementary School"</f>
        <v>Coosada Elementary School</v>
      </c>
      <c r="E204" s="25" t="str">
        <f t="shared" si="29"/>
        <v>Schoolwide</v>
      </c>
    </row>
    <row r="205" spans="1:5" x14ac:dyDescent="0.35">
      <c r="A205" s="29" t="s">
        <v>202</v>
      </c>
      <c r="B205" s="25" t="str">
        <f t="shared" si="31"/>
        <v>Elmore County</v>
      </c>
      <c r="C205" s="25" t="s">
        <v>521</v>
      </c>
      <c r="D205" s="25" t="str">
        <f>"Airport Road Intermediate School"</f>
        <v>Airport Road Intermediate School</v>
      </c>
      <c r="E205" s="25" t="str">
        <f t="shared" si="29"/>
        <v>Schoolwide</v>
      </c>
    </row>
    <row r="206" spans="1:5" x14ac:dyDescent="0.35">
      <c r="A206" s="29" t="s">
        <v>202</v>
      </c>
      <c r="B206" s="25" t="str">
        <f t="shared" si="31"/>
        <v>Elmore County</v>
      </c>
      <c r="C206" s="25" t="s">
        <v>522</v>
      </c>
      <c r="D206" s="25" t="str">
        <f>"Wetumpka Elementary School"</f>
        <v>Wetumpka Elementary School</v>
      </c>
      <c r="E206" s="25" t="str">
        <f t="shared" ref="E206:E269" si="32">"Schoolwide"</f>
        <v>Schoolwide</v>
      </c>
    </row>
    <row r="207" spans="1:5" x14ac:dyDescent="0.35">
      <c r="A207" s="29" t="s">
        <v>202</v>
      </c>
      <c r="B207" s="25" t="str">
        <f t="shared" si="31"/>
        <v>Elmore County</v>
      </c>
      <c r="C207" s="25" t="s">
        <v>523</v>
      </c>
      <c r="D207" s="25" t="str">
        <f>"Wetumpka Middle School"</f>
        <v>Wetumpka Middle School</v>
      </c>
      <c r="E207" s="25" t="str">
        <f t="shared" si="32"/>
        <v>Schoolwide</v>
      </c>
    </row>
    <row r="208" spans="1:5" x14ac:dyDescent="0.35">
      <c r="A208" s="29" t="s">
        <v>204</v>
      </c>
      <c r="B208" s="25" t="str">
        <f t="shared" ref="B208:B217" si="33">"Escambia County"</f>
        <v>Escambia County</v>
      </c>
      <c r="C208" s="25" t="s">
        <v>524</v>
      </c>
      <c r="D208" s="25" t="str">
        <f>"Escambia County High School"</f>
        <v>Escambia County High School</v>
      </c>
      <c r="E208" s="25" t="str">
        <f t="shared" si="32"/>
        <v>Schoolwide</v>
      </c>
    </row>
    <row r="209" spans="1:5" x14ac:dyDescent="0.35">
      <c r="A209" s="29" t="s">
        <v>204</v>
      </c>
      <c r="B209" s="25" t="str">
        <f t="shared" si="33"/>
        <v>Escambia County</v>
      </c>
      <c r="C209" s="25" t="s">
        <v>525</v>
      </c>
      <c r="D209" s="25" t="str">
        <f>"Escambia County Middle School"</f>
        <v>Escambia County Middle School</v>
      </c>
      <c r="E209" s="25" t="str">
        <f t="shared" si="32"/>
        <v>Schoolwide</v>
      </c>
    </row>
    <row r="210" spans="1:5" x14ac:dyDescent="0.35">
      <c r="A210" s="29" t="s">
        <v>204</v>
      </c>
      <c r="B210" s="25" t="str">
        <f t="shared" si="33"/>
        <v>Escambia County</v>
      </c>
      <c r="C210" s="25" t="s">
        <v>526</v>
      </c>
      <c r="D210" s="25" t="str">
        <f>"Flomaton Elementary School"</f>
        <v>Flomaton Elementary School</v>
      </c>
      <c r="E210" s="25" t="str">
        <f t="shared" si="32"/>
        <v>Schoolwide</v>
      </c>
    </row>
    <row r="211" spans="1:5" x14ac:dyDescent="0.35">
      <c r="A211" s="29" t="s">
        <v>204</v>
      </c>
      <c r="B211" s="25" t="str">
        <f t="shared" si="33"/>
        <v>Escambia County</v>
      </c>
      <c r="C211" s="25" t="s">
        <v>527</v>
      </c>
      <c r="D211" s="25" t="str">
        <f>"Flomaton High School"</f>
        <v>Flomaton High School</v>
      </c>
      <c r="E211" s="25" t="str">
        <f t="shared" si="32"/>
        <v>Schoolwide</v>
      </c>
    </row>
    <row r="212" spans="1:5" x14ac:dyDescent="0.35">
      <c r="A212" s="29" t="s">
        <v>204</v>
      </c>
      <c r="B212" s="25" t="str">
        <f t="shared" si="33"/>
        <v>Escambia County</v>
      </c>
      <c r="C212" s="25" t="s">
        <v>528</v>
      </c>
      <c r="D212" s="25" t="str">
        <f>"Huxford Elementary School"</f>
        <v>Huxford Elementary School</v>
      </c>
      <c r="E212" s="25" t="str">
        <f t="shared" si="32"/>
        <v>Schoolwide</v>
      </c>
    </row>
    <row r="213" spans="1:5" x14ac:dyDescent="0.35">
      <c r="A213" s="29" t="s">
        <v>204</v>
      </c>
      <c r="B213" s="25" t="str">
        <f t="shared" si="33"/>
        <v>Escambia County</v>
      </c>
      <c r="C213" s="25" t="s">
        <v>529</v>
      </c>
      <c r="D213" s="25" t="str">
        <f>"Pollard-McCall Junior High School"</f>
        <v>Pollard-McCall Junior High School</v>
      </c>
      <c r="E213" s="25" t="str">
        <f t="shared" si="32"/>
        <v>Schoolwide</v>
      </c>
    </row>
    <row r="214" spans="1:5" x14ac:dyDescent="0.35">
      <c r="A214" s="29" t="s">
        <v>204</v>
      </c>
      <c r="B214" s="25" t="str">
        <f t="shared" si="33"/>
        <v>Escambia County</v>
      </c>
      <c r="C214" s="25" t="s">
        <v>530</v>
      </c>
      <c r="D214" s="25" t="str">
        <f>"Rachel Patterson Elementary School"</f>
        <v>Rachel Patterson Elementary School</v>
      </c>
      <c r="E214" s="25" t="str">
        <f t="shared" si="32"/>
        <v>Schoolwide</v>
      </c>
    </row>
    <row r="215" spans="1:5" x14ac:dyDescent="0.35">
      <c r="A215" s="29" t="s">
        <v>204</v>
      </c>
      <c r="B215" s="25" t="str">
        <f t="shared" si="33"/>
        <v>Escambia County</v>
      </c>
      <c r="C215" s="25" t="s">
        <v>531</v>
      </c>
      <c r="D215" s="25" t="str">
        <f>"W S Neal Elementary School"</f>
        <v>W S Neal Elementary School</v>
      </c>
      <c r="E215" s="25" t="str">
        <f t="shared" si="32"/>
        <v>Schoolwide</v>
      </c>
    </row>
    <row r="216" spans="1:5" x14ac:dyDescent="0.35">
      <c r="A216" s="29" t="s">
        <v>204</v>
      </c>
      <c r="B216" s="25" t="str">
        <f t="shared" si="33"/>
        <v>Escambia County</v>
      </c>
      <c r="C216" s="25" t="s">
        <v>532</v>
      </c>
      <c r="D216" s="25" t="str">
        <f>"W S Neal Middle School"</f>
        <v>W S Neal Middle School</v>
      </c>
      <c r="E216" s="25" t="str">
        <f t="shared" si="32"/>
        <v>Schoolwide</v>
      </c>
    </row>
    <row r="217" spans="1:5" x14ac:dyDescent="0.35">
      <c r="A217" s="29" t="s">
        <v>204</v>
      </c>
      <c r="B217" s="25" t="str">
        <f t="shared" si="33"/>
        <v>Escambia County</v>
      </c>
      <c r="C217" s="25" t="s">
        <v>533</v>
      </c>
      <c r="D217" s="25" t="str">
        <f>"W S Neal High School"</f>
        <v>W S Neal High School</v>
      </c>
      <c r="E217" s="25" t="str">
        <f t="shared" si="32"/>
        <v>Schoolwide</v>
      </c>
    </row>
    <row r="218" spans="1:5" x14ac:dyDescent="0.35">
      <c r="A218" s="29" t="s">
        <v>206</v>
      </c>
      <c r="B218" s="25" t="str">
        <f t="shared" ref="B218:B233" si="34">"Etowah County"</f>
        <v>Etowah County</v>
      </c>
      <c r="C218" s="25" t="s">
        <v>534</v>
      </c>
      <c r="D218" s="25" t="s">
        <v>535</v>
      </c>
      <c r="E218" s="25" t="str">
        <f t="shared" si="32"/>
        <v>Schoolwide</v>
      </c>
    </row>
    <row r="219" spans="1:5" x14ac:dyDescent="0.35">
      <c r="A219" s="29" t="s">
        <v>206</v>
      </c>
      <c r="B219" s="25" t="str">
        <f t="shared" si="34"/>
        <v>Etowah County</v>
      </c>
      <c r="C219" s="25" t="s">
        <v>536</v>
      </c>
      <c r="D219" s="25" t="s">
        <v>537</v>
      </c>
      <c r="E219" s="25" t="str">
        <f t="shared" si="32"/>
        <v>Schoolwide</v>
      </c>
    </row>
    <row r="220" spans="1:5" x14ac:dyDescent="0.35">
      <c r="A220" s="29" t="s">
        <v>206</v>
      </c>
      <c r="B220" s="25" t="str">
        <f t="shared" si="34"/>
        <v>Etowah County</v>
      </c>
      <c r="C220" s="25" t="s">
        <v>538</v>
      </c>
      <c r="D220" s="25" t="s">
        <v>539</v>
      </c>
      <c r="E220" s="25" t="str">
        <f t="shared" si="32"/>
        <v>Schoolwide</v>
      </c>
    </row>
    <row r="221" spans="1:5" x14ac:dyDescent="0.35">
      <c r="A221" s="29" t="s">
        <v>206</v>
      </c>
      <c r="B221" s="25" t="str">
        <f t="shared" si="34"/>
        <v>Etowah County</v>
      </c>
      <c r="C221" s="25" t="s">
        <v>540</v>
      </c>
      <c r="D221" s="25" t="s">
        <v>541</v>
      </c>
      <c r="E221" s="25" t="str">
        <f t="shared" si="32"/>
        <v>Schoolwide</v>
      </c>
    </row>
    <row r="222" spans="1:5" x14ac:dyDescent="0.35">
      <c r="A222" s="29" t="s">
        <v>206</v>
      </c>
      <c r="B222" s="25" t="str">
        <f t="shared" si="34"/>
        <v>Etowah County</v>
      </c>
      <c r="C222" s="25" t="s">
        <v>542</v>
      </c>
      <c r="D222" s="25" t="s">
        <v>543</v>
      </c>
      <c r="E222" s="25" t="str">
        <f t="shared" si="32"/>
        <v>Schoolwide</v>
      </c>
    </row>
    <row r="223" spans="1:5" x14ac:dyDescent="0.35">
      <c r="A223" s="29" t="s">
        <v>206</v>
      </c>
      <c r="B223" s="25" t="str">
        <f t="shared" si="34"/>
        <v>Etowah County</v>
      </c>
      <c r="C223" s="25" t="s">
        <v>544</v>
      </c>
      <c r="D223" s="25" t="s">
        <v>545</v>
      </c>
      <c r="E223" s="25" t="str">
        <f t="shared" si="32"/>
        <v>Schoolwide</v>
      </c>
    </row>
    <row r="224" spans="1:5" x14ac:dyDescent="0.35">
      <c r="A224" s="29" t="s">
        <v>206</v>
      </c>
      <c r="B224" s="25" t="str">
        <f t="shared" si="34"/>
        <v>Etowah County</v>
      </c>
      <c r="C224" s="25" t="s">
        <v>546</v>
      </c>
      <c r="D224" s="25" t="s">
        <v>547</v>
      </c>
      <c r="E224" s="25" t="str">
        <f t="shared" si="32"/>
        <v>Schoolwide</v>
      </c>
    </row>
    <row r="225" spans="1:5" x14ac:dyDescent="0.35">
      <c r="A225" s="29" t="s">
        <v>206</v>
      </c>
      <c r="B225" s="25" t="str">
        <f t="shared" si="34"/>
        <v>Etowah County</v>
      </c>
      <c r="C225" s="25" t="s">
        <v>548</v>
      </c>
      <c r="D225" s="25" t="s">
        <v>549</v>
      </c>
      <c r="E225" s="25" t="str">
        <f t="shared" si="32"/>
        <v>Schoolwide</v>
      </c>
    </row>
    <row r="226" spans="1:5" x14ac:dyDescent="0.35">
      <c r="A226" s="29" t="s">
        <v>206</v>
      </c>
      <c r="B226" s="25" t="str">
        <f t="shared" si="34"/>
        <v>Etowah County</v>
      </c>
      <c r="C226" s="25" t="s">
        <v>550</v>
      </c>
      <c r="D226" s="25" t="s">
        <v>551</v>
      </c>
      <c r="E226" s="25" t="str">
        <f t="shared" si="32"/>
        <v>Schoolwide</v>
      </c>
    </row>
    <row r="227" spans="1:5" x14ac:dyDescent="0.35">
      <c r="A227" s="29" t="s">
        <v>206</v>
      </c>
      <c r="B227" s="25" t="str">
        <f t="shared" si="34"/>
        <v>Etowah County</v>
      </c>
      <c r="C227" s="25" t="s">
        <v>552</v>
      </c>
      <c r="D227" s="25" t="s">
        <v>553</v>
      </c>
      <c r="E227" s="25" t="str">
        <f t="shared" si="32"/>
        <v>Schoolwide</v>
      </c>
    </row>
    <row r="228" spans="1:5" x14ac:dyDescent="0.35">
      <c r="A228" s="29" t="s">
        <v>206</v>
      </c>
      <c r="B228" s="25" t="str">
        <f t="shared" si="34"/>
        <v>Etowah County</v>
      </c>
      <c r="C228" s="25" t="s">
        <v>554</v>
      </c>
      <c r="D228" s="25" t="s">
        <v>555</v>
      </c>
      <c r="E228" s="25" t="str">
        <f t="shared" si="32"/>
        <v>Schoolwide</v>
      </c>
    </row>
    <row r="229" spans="1:5" x14ac:dyDescent="0.35">
      <c r="A229" s="29" t="s">
        <v>206</v>
      </c>
      <c r="B229" s="25" t="str">
        <f t="shared" si="34"/>
        <v>Etowah County</v>
      </c>
      <c r="C229" s="25" t="s">
        <v>556</v>
      </c>
      <c r="D229" s="25" t="s">
        <v>557</v>
      </c>
      <c r="E229" s="25" t="str">
        <f t="shared" si="32"/>
        <v>Schoolwide</v>
      </c>
    </row>
    <row r="230" spans="1:5" x14ac:dyDescent="0.35">
      <c r="A230" s="29" t="s">
        <v>206</v>
      </c>
      <c r="B230" s="25" t="str">
        <f t="shared" si="34"/>
        <v>Etowah County</v>
      </c>
      <c r="C230" s="25" t="s">
        <v>558</v>
      </c>
      <c r="D230" s="25" t="s">
        <v>559</v>
      </c>
      <c r="E230" s="25" t="str">
        <f t="shared" si="32"/>
        <v>Schoolwide</v>
      </c>
    </row>
    <row r="231" spans="1:5" x14ac:dyDescent="0.35">
      <c r="A231" s="29" t="s">
        <v>206</v>
      </c>
      <c r="B231" s="25" t="str">
        <f t="shared" si="34"/>
        <v>Etowah County</v>
      </c>
      <c r="C231" s="25" t="s">
        <v>560</v>
      </c>
      <c r="D231" s="25" t="s">
        <v>561</v>
      </c>
      <c r="E231" s="25" t="str">
        <f t="shared" si="32"/>
        <v>Schoolwide</v>
      </c>
    </row>
    <row r="232" spans="1:5" x14ac:dyDescent="0.35">
      <c r="A232" s="29" t="s">
        <v>206</v>
      </c>
      <c r="B232" s="25" t="str">
        <f t="shared" si="34"/>
        <v>Etowah County</v>
      </c>
      <c r="C232" s="25" t="s">
        <v>562</v>
      </c>
      <c r="D232" s="25" t="s">
        <v>563</v>
      </c>
      <c r="E232" s="25" t="str">
        <f t="shared" si="32"/>
        <v>Schoolwide</v>
      </c>
    </row>
    <row r="233" spans="1:5" x14ac:dyDescent="0.35">
      <c r="A233" s="29" t="s">
        <v>206</v>
      </c>
      <c r="B233" s="25" t="str">
        <f t="shared" si="34"/>
        <v>Etowah County</v>
      </c>
      <c r="C233" s="25" t="s">
        <v>564</v>
      </c>
      <c r="D233" s="25" t="s">
        <v>565</v>
      </c>
      <c r="E233" s="25" t="str">
        <f t="shared" si="32"/>
        <v>Schoolwide</v>
      </c>
    </row>
    <row r="234" spans="1:5" x14ac:dyDescent="0.35">
      <c r="A234" s="29" t="s">
        <v>103</v>
      </c>
      <c r="B234" s="25" t="str">
        <f t="shared" ref="B234:B239" si="35">"Fayette County"</f>
        <v>Fayette County</v>
      </c>
      <c r="C234" s="25" t="s">
        <v>566</v>
      </c>
      <c r="D234" s="25" t="s">
        <v>567</v>
      </c>
      <c r="E234" s="25" t="str">
        <f t="shared" si="32"/>
        <v>Schoolwide</v>
      </c>
    </row>
    <row r="235" spans="1:5" x14ac:dyDescent="0.35">
      <c r="A235" s="29" t="s">
        <v>103</v>
      </c>
      <c r="B235" s="25" t="str">
        <f t="shared" si="35"/>
        <v>Fayette County</v>
      </c>
      <c r="C235" s="25" t="s">
        <v>568</v>
      </c>
      <c r="D235" s="25" t="s">
        <v>569</v>
      </c>
      <c r="E235" s="25" t="str">
        <f t="shared" si="32"/>
        <v>Schoolwide</v>
      </c>
    </row>
    <row r="236" spans="1:5" x14ac:dyDescent="0.35">
      <c r="A236" s="29" t="s">
        <v>103</v>
      </c>
      <c r="B236" s="25" t="str">
        <f t="shared" si="35"/>
        <v>Fayette County</v>
      </c>
      <c r="C236" s="25" t="s">
        <v>570</v>
      </c>
      <c r="D236" s="25" t="s">
        <v>571</v>
      </c>
      <c r="E236" s="25" t="str">
        <f t="shared" si="32"/>
        <v>Schoolwide</v>
      </c>
    </row>
    <row r="237" spans="1:5" x14ac:dyDescent="0.35">
      <c r="A237" s="29" t="s">
        <v>103</v>
      </c>
      <c r="B237" s="25" t="str">
        <f t="shared" si="35"/>
        <v>Fayette County</v>
      </c>
      <c r="C237" s="25" t="s">
        <v>572</v>
      </c>
      <c r="D237" s="25" t="s">
        <v>573</v>
      </c>
      <c r="E237" s="25" t="str">
        <f t="shared" si="32"/>
        <v>Schoolwide</v>
      </c>
    </row>
    <row r="238" spans="1:5" x14ac:dyDescent="0.35">
      <c r="A238" s="29" t="s">
        <v>103</v>
      </c>
      <c r="B238" s="25" t="str">
        <f t="shared" si="35"/>
        <v>Fayette County</v>
      </c>
      <c r="C238" s="25" t="s">
        <v>574</v>
      </c>
      <c r="D238" s="25" t="s">
        <v>575</v>
      </c>
      <c r="E238" s="25" t="str">
        <f t="shared" si="32"/>
        <v>Schoolwide</v>
      </c>
    </row>
    <row r="239" spans="1:5" x14ac:dyDescent="0.35">
      <c r="A239" s="29" t="s">
        <v>103</v>
      </c>
      <c r="B239" s="25" t="str">
        <f t="shared" si="35"/>
        <v>Fayette County</v>
      </c>
      <c r="C239" s="25" t="s">
        <v>576</v>
      </c>
      <c r="D239" s="25" t="s">
        <v>577</v>
      </c>
      <c r="E239" s="25" t="str">
        <f t="shared" si="32"/>
        <v>Schoolwide</v>
      </c>
    </row>
    <row r="240" spans="1:5" x14ac:dyDescent="0.35">
      <c r="A240" s="29" t="s">
        <v>147</v>
      </c>
      <c r="B240" s="25" t="str">
        <f t="shared" ref="B240:B247" si="36">"Franklin County"</f>
        <v>Franklin County</v>
      </c>
      <c r="C240" s="25" t="s">
        <v>578</v>
      </c>
      <c r="D240" s="25" t="s">
        <v>579</v>
      </c>
      <c r="E240" s="25" t="str">
        <f t="shared" si="32"/>
        <v>Schoolwide</v>
      </c>
    </row>
    <row r="241" spans="1:5" x14ac:dyDescent="0.35">
      <c r="A241" s="29" t="s">
        <v>147</v>
      </c>
      <c r="B241" s="25" t="str">
        <f t="shared" si="36"/>
        <v>Franklin County</v>
      </c>
      <c r="C241" s="25" t="s">
        <v>580</v>
      </c>
      <c r="D241" s="25" t="s">
        <v>581</v>
      </c>
      <c r="E241" s="25" t="str">
        <f t="shared" si="32"/>
        <v>Schoolwide</v>
      </c>
    </row>
    <row r="242" spans="1:5" x14ac:dyDescent="0.35">
      <c r="A242" s="29" t="s">
        <v>147</v>
      </c>
      <c r="B242" s="25" t="str">
        <f t="shared" si="36"/>
        <v>Franklin County</v>
      </c>
      <c r="C242" s="25" t="s">
        <v>582</v>
      </c>
      <c r="D242" s="25" t="s">
        <v>583</v>
      </c>
      <c r="E242" s="25" t="str">
        <f t="shared" si="32"/>
        <v>Schoolwide</v>
      </c>
    </row>
    <row r="243" spans="1:5" x14ac:dyDescent="0.35">
      <c r="A243" s="29" t="s">
        <v>147</v>
      </c>
      <c r="B243" s="25" t="str">
        <f t="shared" si="36"/>
        <v>Franklin County</v>
      </c>
      <c r="C243" s="25" t="s">
        <v>584</v>
      </c>
      <c r="D243" s="25" t="s">
        <v>585</v>
      </c>
      <c r="E243" s="25" t="str">
        <f t="shared" si="32"/>
        <v>Schoolwide</v>
      </c>
    </row>
    <row r="244" spans="1:5" x14ac:dyDescent="0.35">
      <c r="A244" s="29" t="s">
        <v>147</v>
      </c>
      <c r="B244" s="25" t="str">
        <f t="shared" si="36"/>
        <v>Franklin County</v>
      </c>
      <c r="C244" s="25" t="s">
        <v>586</v>
      </c>
      <c r="D244" s="25" t="s">
        <v>587</v>
      </c>
      <c r="E244" s="25" t="str">
        <f t="shared" si="32"/>
        <v>Schoolwide</v>
      </c>
    </row>
    <row r="245" spans="1:5" x14ac:dyDescent="0.35">
      <c r="A245" s="29" t="s">
        <v>147</v>
      </c>
      <c r="B245" s="25" t="str">
        <f t="shared" si="36"/>
        <v>Franklin County</v>
      </c>
      <c r="C245" s="25" t="s">
        <v>588</v>
      </c>
      <c r="D245" s="25" t="s">
        <v>589</v>
      </c>
      <c r="E245" s="25" t="str">
        <f t="shared" si="32"/>
        <v>Schoolwide</v>
      </c>
    </row>
    <row r="246" spans="1:5" x14ac:dyDescent="0.35">
      <c r="A246" s="29" t="s">
        <v>147</v>
      </c>
      <c r="B246" s="25" t="str">
        <f t="shared" si="36"/>
        <v>Franklin County</v>
      </c>
      <c r="C246" s="25" t="s">
        <v>590</v>
      </c>
      <c r="D246" s="25" t="s">
        <v>591</v>
      </c>
      <c r="E246" s="25" t="str">
        <f t="shared" si="32"/>
        <v>Schoolwide</v>
      </c>
    </row>
    <row r="247" spans="1:5" x14ac:dyDescent="0.35">
      <c r="A247" s="29" t="s">
        <v>147</v>
      </c>
      <c r="B247" s="25" t="str">
        <f t="shared" si="36"/>
        <v>Franklin County</v>
      </c>
      <c r="C247" s="25" t="s">
        <v>592</v>
      </c>
      <c r="D247" s="25" t="s">
        <v>593</v>
      </c>
      <c r="E247" s="25" t="str">
        <f t="shared" si="32"/>
        <v>Schoolwide</v>
      </c>
    </row>
    <row r="248" spans="1:5" x14ac:dyDescent="0.35">
      <c r="A248" s="29" t="s">
        <v>85</v>
      </c>
      <c r="B248" s="25" t="str">
        <f t="shared" ref="B248:B253" si="37">"Geneva County"</f>
        <v>Geneva County</v>
      </c>
      <c r="C248" s="25" t="s">
        <v>594</v>
      </c>
      <c r="D248" s="25" t="s">
        <v>595</v>
      </c>
      <c r="E248" s="25" t="str">
        <f t="shared" si="32"/>
        <v>Schoolwide</v>
      </c>
    </row>
    <row r="249" spans="1:5" x14ac:dyDescent="0.35">
      <c r="A249" s="29" t="s">
        <v>85</v>
      </c>
      <c r="B249" s="25" t="str">
        <f t="shared" si="37"/>
        <v>Geneva County</v>
      </c>
      <c r="C249" s="25" t="s">
        <v>596</v>
      </c>
      <c r="D249" s="25" t="s">
        <v>597</v>
      </c>
      <c r="E249" s="25" t="str">
        <f t="shared" si="32"/>
        <v>Schoolwide</v>
      </c>
    </row>
    <row r="250" spans="1:5" x14ac:dyDescent="0.35">
      <c r="A250" s="29" t="s">
        <v>85</v>
      </c>
      <c r="B250" s="25" t="str">
        <f t="shared" si="37"/>
        <v>Geneva County</v>
      </c>
      <c r="C250" s="25" t="s">
        <v>598</v>
      </c>
      <c r="D250" s="25" t="s">
        <v>599</v>
      </c>
      <c r="E250" s="25" t="str">
        <f t="shared" si="32"/>
        <v>Schoolwide</v>
      </c>
    </row>
    <row r="251" spans="1:5" x14ac:dyDescent="0.35">
      <c r="A251" s="29" t="s">
        <v>85</v>
      </c>
      <c r="B251" s="25" t="str">
        <f t="shared" si="37"/>
        <v>Geneva County</v>
      </c>
      <c r="C251" s="25" t="s">
        <v>600</v>
      </c>
      <c r="D251" s="25" t="s">
        <v>601</v>
      </c>
      <c r="E251" s="25" t="str">
        <f t="shared" si="32"/>
        <v>Schoolwide</v>
      </c>
    </row>
    <row r="252" spans="1:5" x14ac:dyDescent="0.35">
      <c r="A252" s="29" t="s">
        <v>85</v>
      </c>
      <c r="B252" s="25" t="str">
        <f t="shared" si="37"/>
        <v>Geneva County</v>
      </c>
      <c r="C252" s="25" t="s">
        <v>602</v>
      </c>
      <c r="D252" s="25" t="s">
        <v>603</v>
      </c>
      <c r="E252" s="25" t="str">
        <f t="shared" si="32"/>
        <v>Schoolwide</v>
      </c>
    </row>
    <row r="253" spans="1:5" x14ac:dyDescent="0.35">
      <c r="A253" s="29" t="s">
        <v>85</v>
      </c>
      <c r="B253" s="25" t="str">
        <f t="shared" si="37"/>
        <v>Geneva County</v>
      </c>
      <c r="C253" s="25" t="s">
        <v>604</v>
      </c>
      <c r="D253" s="25" t="s">
        <v>605</v>
      </c>
      <c r="E253" s="25" t="str">
        <f t="shared" si="32"/>
        <v>Schoolwide</v>
      </c>
    </row>
    <row r="254" spans="1:5" x14ac:dyDescent="0.35">
      <c r="A254" s="29" t="s">
        <v>75</v>
      </c>
      <c r="B254" s="25" t="str">
        <f>"Greene County"</f>
        <v>Greene County</v>
      </c>
      <c r="C254" s="25" t="s">
        <v>606</v>
      </c>
      <c r="D254" s="25" t="s">
        <v>607</v>
      </c>
      <c r="E254" s="25" t="str">
        <f t="shared" si="32"/>
        <v>Schoolwide</v>
      </c>
    </row>
    <row r="255" spans="1:5" x14ac:dyDescent="0.35">
      <c r="A255" s="29" t="s">
        <v>75</v>
      </c>
      <c r="B255" s="25" t="str">
        <f>"Greene County"</f>
        <v>Greene County</v>
      </c>
      <c r="C255" s="25" t="s">
        <v>608</v>
      </c>
      <c r="D255" s="25" t="s">
        <v>609</v>
      </c>
      <c r="E255" s="25" t="str">
        <f t="shared" si="32"/>
        <v>Schoolwide</v>
      </c>
    </row>
    <row r="256" spans="1:5" x14ac:dyDescent="0.35">
      <c r="A256" s="29" t="s">
        <v>75</v>
      </c>
      <c r="B256" s="25" t="str">
        <f>"Greene County"</f>
        <v>Greene County</v>
      </c>
      <c r="C256" s="25" t="s">
        <v>610</v>
      </c>
      <c r="D256" s="25" t="s">
        <v>611</v>
      </c>
      <c r="E256" s="25" t="str">
        <f t="shared" si="32"/>
        <v>Schoolwide</v>
      </c>
    </row>
    <row r="257" spans="1:5" x14ac:dyDescent="0.35">
      <c r="A257" s="29" t="s">
        <v>43</v>
      </c>
      <c r="B257" s="25" t="str">
        <f t="shared" ref="B257:B262" si="38">"Hale County"</f>
        <v>Hale County</v>
      </c>
      <c r="C257" s="25" t="s">
        <v>612</v>
      </c>
      <c r="D257" s="25" t="s">
        <v>613</v>
      </c>
      <c r="E257" s="25" t="str">
        <f t="shared" si="32"/>
        <v>Schoolwide</v>
      </c>
    </row>
    <row r="258" spans="1:5" x14ac:dyDescent="0.35">
      <c r="A258" s="29" t="s">
        <v>43</v>
      </c>
      <c r="B258" s="25" t="str">
        <f t="shared" si="38"/>
        <v>Hale County</v>
      </c>
      <c r="C258" s="25" t="s">
        <v>614</v>
      </c>
      <c r="D258" s="25" t="s">
        <v>615</v>
      </c>
      <c r="E258" s="25" t="str">
        <f t="shared" si="32"/>
        <v>Schoolwide</v>
      </c>
    </row>
    <row r="259" spans="1:5" x14ac:dyDescent="0.35">
      <c r="A259" s="29" t="s">
        <v>43</v>
      </c>
      <c r="B259" s="25" t="str">
        <f t="shared" si="38"/>
        <v>Hale County</v>
      </c>
      <c r="C259" s="25" t="s">
        <v>616</v>
      </c>
      <c r="D259" s="25" t="s">
        <v>617</v>
      </c>
      <c r="E259" s="25" t="str">
        <f t="shared" si="32"/>
        <v>Schoolwide</v>
      </c>
    </row>
    <row r="260" spans="1:5" x14ac:dyDescent="0.35">
      <c r="A260" s="29" t="s">
        <v>43</v>
      </c>
      <c r="B260" s="25" t="str">
        <f t="shared" si="38"/>
        <v>Hale County</v>
      </c>
      <c r="C260" s="25" t="s">
        <v>618</v>
      </c>
      <c r="D260" s="25" t="s">
        <v>619</v>
      </c>
      <c r="E260" s="25" t="str">
        <f t="shared" si="32"/>
        <v>Schoolwide</v>
      </c>
    </row>
    <row r="261" spans="1:5" x14ac:dyDescent="0.35">
      <c r="A261" s="29" t="s">
        <v>43</v>
      </c>
      <c r="B261" s="25" t="str">
        <f t="shared" si="38"/>
        <v>Hale County</v>
      </c>
      <c r="C261" s="25" t="s">
        <v>620</v>
      </c>
      <c r="D261" s="25" t="s">
        <v>621</v>
      </c>
      <c r="E261" s="25" t="str">
        <f t="shared" si="32"/>
        <v>Schoolwide</v>
      </c>
    </row>
    <row r="262" spans="1:5" x14ac:dyDescent="0.35">
      <c r="A262" s="29" t="s">
        <v>43</v>
      </c>
      <c r="B262" s="25" t="str">
        <f t="shared" si="38"/>
        <v>Hale County</v>
      </c>
      <c r="C262" s="25" t="s">
        <v>622</v>
      </c>
      <c r="D262" s="25" t="s">
        <v>623</v>
      </c>
      <c r="E262" s="25" t="str">
        <f t="shared" si="32"/>
        <v>Schoolwide</v>
      </c>
    </row>
    <row r="263" spans="1:5" x14ac:dyDescent="0.35">
      <c r="A263" s="29" t="s">
        <v>208</v>
      </c>
      <c r="B263" s="25" t="str">
        <f>"Henry County"</f>
        <v>Henry County</v>
      </c>
      <c r="C263" s="25" t="s">
        <v>624</v>
      </c>
      <c r="D263" s="25" t="s">
        <v>625</v>
      </c>
      <c r="E263" s="25" t="str">
        <f t="shared" si="32"/>
        <v>Schoolwide</v>
      </c>
    </row>
    <row r="264" spans="1:5" x14ac:dyDescent="0.35">
      <c r="A264" s="29" t="s">
        <v>208</v>
      </c>
      <c r="B264" s="25" t="str">
        <f>"Henry County"</f>
        <v>Henry County</v>
      </c>
      <c r="C264" s="25" t="s">
        <v>626</v>
      </c>
      <c r="D264" s="25" t="s">
        <v>627</v>
      </c>
      <c r="E264" s="25" t="str">
        <f t="shared" si="32"/>
        <v>Schoolwide</v>
      </c>
    </row>
    <row r="265" spans="1:5" x14ac:dyDescent="0.35">
      <c r="A265" s="29" t="s">
        <v>208</v>
      </c>
      <c r="B265" s="25" t="str">
        <f>"Henry County"</f>
        <v>Henry County</v>
      </c>
      <c r="C265" s="25" t="s">
        <v>628</v>
      </c>
      <c r="D265" s="25" t="s">
        <v>629</v>
      </c>
      <c r="E265" s="25" t="str">
        <f t="shared" si="32"/>
        <v>Schoolwide</v>
      </c>
    </row>
    <row r="266" spans="1:5" x14ac:dyDescent="0.35">
      <c r="A266" s="29" t="s">
        <v>208</v>
      </c>
      <c r="B266" s="25" t="str">
        <f>"Henry County"</f>
        <v>Henry County</v>
      </c>
      <c r="C266" s="25" t="s">
        <v>630</v>
      </c>
      <c r="D266" s="25" t="s">
        <v>631</v>
      </c>
      <c r="E266" s="25" t="str">
        <f t="shared" si="32"/>
        <v>Schoolwide</v>
      </c>
    </row>
    <row r="267" spans="1:5" x14ac:dyDescent="0.35">
      <c r="A267" s="29" t="s">
        <v>179</v>
      </c>
      <c r="B267" s="25" t="str">
        <f>"Houston County"</f>
        <v>Houston County</v>
      </c>
      <c r="C267" s="25" t="s">
        <v>632</v>
      </c>
      <c r="D267" s="25" t="s">
        <v>633</v>
      </c>
      <c r="E267" s="25" t="str">
        <f t="shared" si="32"/>
        <v>Schoolwide</v>
      </c>
    </row>
    <row r="268" spans="1:5" x14ac:dyDescent="0.35">
      <c r="A268" s="29" t="s">
        <v>179</v>
      </c>
      <c r="B268" s="25" t="str">
        <f>"Houston County"</f>
        <v>Houston County</v>
      </c>
      <c r="C268" s="25" t="s">
        <v>634</v>
      </c>
      <c r="D268" s="25" t="s">
        <v>635</v>
      </c>
      <c r="E268" s="25" t="str">
        <f t="shared" si="32"/>
        <v>Schoolwide</v>
      </c>
    </row>
    <row r="269" spans="1:5" x14ac:dyDescent="0.35">
      <c r="A269" s="29" t="s">
        <v>179</v>
      </c>
      <c r="B269" s="25" t="str">
        <f>"Houston County"</f>
        <v>Houston County</v>
      </c>
      <c r="C269" s="25" t="s">
        <v>636</v>
      </c>
      <c r="D269" s="25" t="s">
        <v>637</v>
      </c>
      <c r="E269" s="25" t="str">
        <f t="shared" si="32"/>
        <v>Schoolwide</v>
      </c>
    </row>
    <row r="270" spans="1:5" x14ac:dyDescent="0.35">
      <c r="A270" s="29" t="s">
        <v>179</v>
      </c>
      <c r="B270" s="25" t="str">
        <f>"Houston County"</f>
        <v>Houston County</v>
      </c>
      <c r="C270" s="25" t="s">
        <v>638</v>
      </c>
      <c r="D270" s="25" t="s">
        <v>639</v>
      </c>
      <c r="E270" s="25" t="str">
        <f t="shared" ref="E270:E333" si="39">"Schoolwide"</f>
        <v>Schoolwide</v>
      </c>
    </row>
    <row r="271" spans="1:5" x14ac:dyDescent="0.35">
      <c r="A271" s="29" t="s">
        <v>210</v>
      </c>
      <c r="B271" s="25" t="str">
        <f t="shared" ref="B271:B286" si="40">"Jackson County"</f>
        <v>Jackson County</v>
      </c>
      <c r="C271" s="25" t="s">
        <v>640</v>
      </c>
      <c r="D271" s="25" t="s">
        <v>641</v>
      </c>
      <c r="E271" s="25" t="str">
        <f t="shared" si="39"/>
        <v>Schoolwide</v>
      </c>
    </row>
    <row r="272" spans="1:5" x14ac:dyDescent="0.35">
      <c r="A272" s="29" t="s">
        <v>210</v>
      </c>
      <c r="B272" s="25" t="str">
        <f t="shared" si="40"/>
        <v>Jackson County</v>
      </c>
      <c r="C272" s="25" t="s">
        <v>642</v>
      </c>
      <c r="D272" s="25" t="s">
        <v>643</v>
      </c>
      <c r="E272" s="25" t="str">
        <f t="shared" si="39"/>
        <v>Schoolwide</v>
      </c>
    </row>
    <row r="273" spans="1:5" x14ac:dyDescent="0.35">
      <c r="A273" s="29" t="s">
        <v>210</v>
      </c>
      <c r="B273" s="25" t="str">
        <f t="shared" si="40"/>
        <v>Jackson County</v>
      </c>
      <c r="C273" s="25" t="s">
        <v>644</v>
      </c>
      <c r="D273" s="25" t="s">
        <v>645</v>
      </c>
      <c r="E273" s="25" t="str">
        <f t="shared" si="39"/>
        <v>Schoolwide</v>
      </c>
    </row>
    <row r="274" spans="1:5" x14ac:dyDescent="0.35">
      <c r="A274" s="29" t="s">
        <v>210</v>
      </c>
      <c r="B274" s="25" t="str">
        <f t="shared" si="40"/>
        <v>Jackson County</v>
      </c>
      <c r="C274" s="25" t="s">
        <v>646</v>
      </c>
      <c r="D274" s="25" t="s">
        <v>647</v>
      </c>
      <c r="E274" s="25" t="str">
        <f t="shared" si="39"/>
        <v>Schoolwide</v>
      </c>
    </row>
    <row r="275" spans="1:5" x14ac:dyDescent="0.35">
      <c r="A275" s="29" t="s">
        <v>210</v>
      </c>
      <c r="B275" s="25" t="str">
        <f t="shared" si="40"/>
        <v>Jackson County</v>
      </c>
      <c r="C275" s="25" t="s">
        <v>648</v>
      </c>
      <c r="D275" s="25" t="s">
        <v>649</v>
      </c>
      <c r="E275" s="25" t="str">
        <f t="shared" si="39"/>
        <v>Schoolwide</v>
      </c>
    </row>
    <row r="276" spans="1:5" x14ac:dyDescent="0.35">
      <c r="A276" s="29" t="s">
        <v>210</v>
      </c>
      <c r="B276" s="25" t="str">
        <f t="shared" si="40"/>
        <v>Jackson County</v>
      </c>
      <c r="C276" s="25" t="s">
        <v>650</v>
      </c>
      <c r="D276" s="25" t="s">
        <v>651</v>
      </c>
      <c r="E276" s="25" t="str">
        <f t="shared" si="39"/>
        <v>Schoolwide</v>
      </c>
    </row>
    <row r="277" spans="1:5" x14ac:dyDescent="0.35">
      <c r="A277" s="29" t="s">
        <v>210</v>
      </c>
      <c r="B277" s="25" t="str">
        <f t="shared" si="40"/>
        <v>Jackson County</v>
      </c>
      <c r="C277" s="25" t="s">
        <v>652</v>
      </c>
      <c r="D277" s="25" t="s">
        <v>653</v>
      </c>
      <c r="E277" s="25" t="str">
        <f t="shared" si="39"/>
        <v>Schoolwide</v>
      </c>
    </row>
    <row r="278" spans="1:5" x14ac:dyDescent="0.35">
      <c r="A278" s="29" t="s">
        <v>210</v>
      </c>
      <c r="B278" s="25" t="str">
        <f t="shared" si="40"/>
        <v>Jackson County</v>
      </c>
      <c r="C278" s="25" t="s">
        <v>654</v>
      </c>
      <c r="D278" s="25" t="s">
        <v>655</v>
      </c>
      <c r="E278" s="25" t="str">
        <f t="shared" si="39"/>
        <v>Schoolwide</v>
      </c>
    </row>
    <row r="279" spans="1:5" x14ac:dyDescent="0.35">
      <c r="A279" s="29" t="s">
        <v>210</v>
      </c>
      <c r="B279" s="25" t="str">
        <f t="shared" si="40"/>
        <v>Jackson County</v>
      </c>
      <c r="C279" s="25" t="s">
        <v>656</v>
      </c>
      <c r="D279" s="25" t="s">
        <v>657</v>
      </c>
      <c r="E279" s="25" t="str">
        <f t="shared" si="39"/>
        <v>Schoolwide</v>
      </c>
    </row>
    <row r="280" spans="1:5" x14ac:dyDescent="0.35">
      <c r="A280" s="29" t="s">
        <v>210</v>
      </c>
      <c r="B280" s="25" t="str">
        <f t="shared" si="40"/>
        <v>Jackson County</v>
      </c>
      <c r="C280" s="25" t="s">
        <v>658</v>
      </c>
      <c r="D280" s="25" t="s">
        <v>659</v>
      </c>
      <c r="E280" s="25" t="str">
        <f t="shared" si="39"/>
        <v>Schoolwide</v>
      </c>
    </row>
    <row r="281" spans="1:5" x14ac:dyDescent="0.35">
      <c r="A281" s="29" t="s">
        <v>210</v>
      </c>
      <c r="B281" s="25" t="str">
        <f t="shared" si="40"/>
        <v>Jackson County</v>
      </c>
      <c r="C281" s="25" t="s">
        <v>660</v>
      </c>
      <c r="D281" s="25" t="s">
        <v>661</v>
      </c>
      <c r="E281" s="25" t="str">
        <f t="shared" si="39"/>
        <v>Schoolwide</v>
      </c>
    </row>
    <row r="282" spans="1:5" x14ac:dyDescent="0.35">
      <c r="A282" s="29" t="s">
        <v>210</v>
      </c>
      <c r="B282" s="25" t="str">
        <f t="shared" si="40"/>
        <v>Jackson County</v>
      </c>
      <c r="C282" s="25" t="s">
        <v>662</v>
      </c>
      <c r="D282" s="25" t="s">
        <v>663</v>
      </c>
      <c r="E282" s="25" t="str">
        <f t="shared" si="39"/>
        <v>Schoolwide</v>
      </c>
    </row>
    <row r="283" spans="1:5" x14ac:dyDescent="0.35">
      <c r="A283" s="29" t="s">
        <v>210</v>
      </c>
      <c r="B283" s="25" t="str">
        <f t="shared" si="40"/>
        <v>Jackson County</v>
      </c>
      <c r="C283" s="25" t="s">
        <v>664</v>
      </c>
      <c r="D283" s="25" t="s">
        <v>665</v>
      </c>
      <c r="E283" s="25" t="str">
        <f t="shared" si="39"/>
        <v>Schoolwide</v>
      </c>
    </row>
    <row r="284" spans="1:5" x14ac:dyDescent="0.35">
      <c r="A284" s="29" t="s">
        <v>210</v>
      </c>
      <c r="B284" s="25" t="str">
        <f t="shared" si="40"/>
        <v>Jackson County</v>
      </c>
      <c r="C284" s="25" t="s">
        <v>666</v>
      </c>
      <c r="D284" s="25" t="s">
        <v>667</v>
      </c>
      <c r="E284" s="25" t="str">
        <f t="shared" si="39"/>
        <v>Schoolwide</v>
      </c>
    </row>
    <row r="285" spans="1:5" x14ac:dyDescent="0.35">
      <c r="A285" s="29" t="s">
        <v>210</v>
      </c>
      <c r="B285" s="25" t="str">
        <f t="shared" si="40"/>
        <v>Jackson County</v>
      </c>
      <c r="C285" s="25" t="s">
        <v>668</v>
      </c>
      <c r="D285" s="25" t="s">
        <v>669</v>
      </c>
      <c r="E285" s="25" t="str">
        <f t="shared" si="39"/>
        <v>Schoolwide</v>
      </c>
    </row>
    <row r="286" spans="1:5" x14ac:dyDescent="0.35">
      <c r="A286" s="29" t="s">
        <v>210</v>
      </c>
      <c r="B286" s="25" t="str">
        <f t="shared" si="40"/>
        <v>Jackson County</v>
      </c>
      <c r="C286" s="25" t="s">
        <v>670</v>
      </c>
      <c r="D286" s="25" t="s">
        <v>671</v>
      </c>
      <c r="E286" s="25" t="str">
        <f t="shared" si="39"/>
        <v>Schoolwide</v>
      </c>
    </row>
    <row r="287" spans="1:5" x14ac:dyDescent="0.35">
      <c r="A287" s="29" t="s">
        <v>87</v>
      </c>
      <c r="B287" s="25" t="str">
        <f t="shared" ref="B287:B315" si="41">"Jefferson County"</f>
        <v>Jefferson County</v>
      </c>
      <c r="C287" s="25" t="s">
        <v>672</v>
      </c>
      <c r="D287" s="25" t="s">
        <v>673</v>
      </c>
      <c r="E287" s="25" t="str">
        <f t="shared" si="39"/>
        <v>Schoolwide</v>
      </c>
    </row>
    <row r="288" spans="1:5" x14ac:dyDescent="0.35">
      <c r="A288" s="29" t="s">
        <v>87</v>
      </c>
      <c r="B288" s="25" t="str">
        <f t="shared" si="41"/>
        <v>Jefferson County</v>
      </c>
      <c r="C288" s="25" t="s">
        <v>674</v>
      </c>
      <c r="D288" s="25" t="s">
        <v>675</v>
      </c>
      <c r="E288" s="25" t="str">
        <f t="shared" si="39"/>
        <v>Schoolwide</v>
      </c>
    </row>
    <row r="289" spans="1:5" x14ac:dyDescent="0.35">
      <c r="A289" s="29" t="s">
        <v>87</v>
      </c>
      <c r="B289" s="25" t="str">
        <f t="shared" si="41"/>
        <v>Jefferson County</v>
      </c>
      <c r="C289" s="25" t="s">
        <v>676</v>
      </c>
      <c r="D289" s="25" t="s">
        <v>677</v>
      </c>
      <c r="E289" s="25" t="str">
        <f t="shared" si="39"/>
        <v>Schoolwide</v>
      </c>
    </row>
    <row r="290" spans="1:5" x14ac:dyDescent="0.35">
      <c r="A290" s="29" t="s">
        <v>87</v>
      </c>
      <c r="B290" s="25" t="str">
        <f t="shared" si="41"/>
        <v>Jefferson County</v>
      </c>
      <c r="C290" s="25" t="s">
        <v>678</v>
      </c>
      <c r="D290" s="25" t="s">
        <v>679</v>
      </c>
      <c r="E290" s="25" t="str">
        <f t="shared" si="39"/>
        <v>Schoolwide</v>
      </c>
    </row>
    <row r="291" spans="1:5" x14ac:dyDescent="0.35">
      <c r="A291" s="29" t="s">
        <v>87</v>
      </c>
      <c r="B291" s="25" t="str">
        <f t="shared" si="41"/>
        <v>Jefferson County</v>
      </c>
      <c r="C291" s="25" t="s">
        <v>680</v>
      </c>
      <c r="D291" s="25" t="s">
        <v>681</v>
      </c>
      <c r="E291" s="25" t="str">
        <f t="shared" si="39"/>
        <v>Schoolwide</v>
      </c>
    </row>
    <row r="292" spans="1:5" x14ac:dyDescent="0.35">
      <c r="A292" s="29" t="s">
        <v>87</v>
      </c>
      <c r="B292" s="25" t="str">
        <f t="shared" si="41"/>
        <v>Jefferson County</v>
      </c>
      <c r="C292" s="25" t="s">
        <v>682</v>
      </c>
      <c r="D292" s="25" t="s">
        <v>683</v>
      </c>
      <c r="E292" s="25" t="str">
        <f t="shared" si="39"/>
        <v>Schoolwide</v>
      </c>
    </row>
    <row r="293" spans="1:5" x14ac:dyDescent="0.35">
      <c r="A293" s="29" t="s">
        <v>87</v>
      </c>
      <c r="B293" s="25" t="str">
        <f t="shared" si="41"/>
        <v>Jefferson County</v>
      </c>
      <c r="C293" s="25" t="s">
        <v>684</v>
      </c>
      <c r="D293" s="25" t="s">
        <v>685</v>
      </c>
      <c r="E293" s="25" t="str">
        <f t="shared" si="39"/>
        <v>Schoolwide</v>
      </c>
    </row>
    <row r="294" spans="1:5" x14ac:dyDescent="0.35">
      <c r="A294" s="29" t="s">
        <v>87</v>
      </c>
      <c r="B294" s="25" t="str">
        <f t="shared" si="41"/>
        <v>Jefferson County</v>
      </c>
      <c r="C294" s="25" t="s">
        <v>686</v>
      </c>
      <c r="D294" s="25" t="s">
        <v>687</v>
      </c>
      <c r="E294" s="25" t="str">
        <f t="shared" si="39"/>
        <v>Schoolwide</v>
      </c>
    </row>
    <row r="295" spans="1:5" x14ac:dyDescent="0.35">
      <c r="A295" s="29" t="s">
        <v>87</v>
      </c>
      <c r="B295" s="25" t="str">
        <f t="shared" si="41"/>
        <v>Jefferson County</v>
      </c>
      <c r="C295" s="25" t="s">
        <v>688</v>
      </c>
      <c r="D295" s="25" t="s">
        <v>689</v>
      </c>
      <c r="E295" s="25" t="str">
        <f t="shared" si="39"/>
        <v>Schoolwide</v>
      </c>
    </row>
    <row r="296" spans="1:5" x14ac:dyDescent="0.35">
      <c r="A296" s="29" t="s">
        <v>87</v>
      </c>
      <c r="B296" s="25" t="str">
        <f t="shared" si="41"/>
        <v>Jefferson County</v>
      </c>
      <c r="C296" s="25" t="s">
        <v>690</v>
      </c>
      <c r="D296" s="25" t="s">
        <v>691</v>
      </c>
      <c r="E296" s="25" t="str">
        <f t="shared" si="39"/>
        <v>Schoolwide</v>
      </c>
    </row>
    <row r="297" spans="1:5" x14ac:dyDescent="0.35">
      <c r="A297" s="29" t="s">
        <v>87</v>
      </c>
      <c r="B297" s="25" t="str">
        <f t="shared" si="41"/>
        <v>Jefferson County</v>
      </c>
      <c r="C297" s="25" t="s">
        <v>692</v>
      </c>
      <c r="D297" s="25" t="s">
        <v>693</v>
      </c>
      <c r="E297" s="25" t="str">
        <f t="shared" si="39"/>
        <v>Schoolwide</v>
      </c>
    </row>
    <row r="298" spans="1:5" x14ac:dyDescent="0.35">
      <c r="A298" s="29" t="s">
        <v>87</v>
      </c>
      <c r="B298" s="25" t="str">
        <f t="shared" si="41"/>
        <v>Jefferson County</v>
      </c>
      <c r="C298" s="25" t="s">
        <v>694</v>
      </c>
      <c r="D298" s="25" t="s">
        <v>695</v>
      </c>
      <c r="E298" s="25" t="str">
        <f t="shared" si="39"/>
        <v>Schoolwide</v>
      </c>
    </row>
    <row r="299" spans="1:5" x14ac:dyDescent="0.35">
      <c r="A299" s="29" t="s">
        <v>87</v>
      </c>
      <c r="B299" s="25" t="str">
        <f t="shared" si="41"/>
        <v>Jefferson County</v>
      </c>
      <c r="C299" s="25" t="s">
        <v>696</v>
      </c>
      <c r="D299" s="25" t="s">
        <v>697</v>
      </c>
      <c r="E299" s="25" t="str">
        <f t="shared" si="39"/>
        <v>Schoolwide</v>
      </c>
    </row>
    <row r="300" spans="1:5" x14ac:dyDescent="0.35">
      <c r="A300" s="29" t="s">
        <v>87</v>
      </c>
      <c r="B300" s="25" t="str">
        <f t="shared" si="41"/>
        <v>Jefferson County</v>
      </c>
      <c r="C300" s="25" t="s">
        <v>698</v>
      </c>
      <c r="D300" s="25" t="s">
        <v>699</v>
      </c>
      <c r="E300" s="25" t="str">
        <f t="shared" si="39"/>
        <v>Schoolwide</v>
      </c>
    </row>
    <row r="301" spans="1:5" x14ac:dyDescent="0.35">
      <c r="A301" s="29" t="s">
        <v>87</v>
      </c>
      <c r="B301" s="25" t="str">
        <f t="shared" si="41"/>
        <v>Jefferson County</v>
      </c>
      <c r="C301" s="25" t="s">
        <v>700</v>
      </c>
      <c r="D301" s="25" t="s">
        <v>701</v>
      </c>
      <c r="E301" s="25" t="str">
        <f t="shared" si="39"/>
        <v>Schoolwide</v>
      </c>
    </row>
    <row r="302" spans="1:5" x14ac:dyDescent="0.35">
      <c r="A302" s="29" t="s">
        <v>87</v>
      </c>
      <c r="B302" s="25" t="str">
        <f t="shared" si="41"/>
        <v>Jefferson County</v>
      </c>
      <c r="C302" s="25" t="s">
        <v>702</v>
      </c>
      <c r="D302" s="25" t="s">
        <v>703</v>
      </c>
      <c r="E302" s="25" t="str">
        <f t="shared" si="39"/>
        <v>Schoolwide</v>
      </c>
    </row>
    <row r="303" spans="1:5" x14ac:dyDescent="0.35">
      <c r="A303" s="29" t="s">
        <v>87</v>
      </c>
      <c r="B303" s="25" t="str">
        <f t="shared" si="41"/>
        <v>Jefferson County</v>
      </c>
      <c r="C303" s="25" t="s">
        <v>704</v>
      </c>
      <c r="D303" s="25" t="s">
        <v>705</v>
      </c>
      <c r="E303" s="25" t="str">
        <f t="shared" si="39"/>
        <v>Schoolwide</v>
      </c>
    </row>
    <row r="304" spans="1:5" x14ac:dyDescent="0.35">
      <c r="A304" s="29" t="s">
        <v>87</v>
      </c>
      <c r="B304" s="25" t="str">
        <f t="shared" si="41"/>
        <v>Jefferson County</v>
      </c>
      <c r="C304" s="25" t="s">
        <v>706</v>
      </c>
      <c r="D304" s="25" t="s">
        <v>707</v>
      </c>
      <c r="E304" s="25" t="str">
        <f t="shared" si="39"/>
        <v>Schoolwide</v>
      </c>
    </row>
    <row r="305" spans="1:5" x14ac:dyDescent="0.35">
      <c r="A305" s="29" t="s">
        <v>87</v>
      </c>
      <c r="B305" s="25" t="str">
        <f t="shared" si="41"/>
        <v>Jefferson County</v>
      </c>
      <c r="C305" s="25" t="s">
        <v>708</v>
      </c>
      <c r="D305" s="25" t="s">
        <v>709</v>
      </c>
      <c r="E305" s="25" t="str">
        <f t="shared" si="39"/>
        <v>Schoolwide</v>
      </c>
    </row>
    <row r="306" spans="1:5" x14ac:dyDescent="0.35">
      <c r="A306" s="29" t="s">
        <v>87</v>
      </c>
      <c r="B306" s="25" t="str">
        <f t="shared" si="41"/>
        <v>Jefferson County</v>
      </c>
      <c r="C306" s="25" t="s">
        <v>710</v>
      </c>
      <c r="D306" s="25" t="s">
        <v>711</v>
      </c>
      <c r="E306" s="25" t="str">
        <f t="shared" si="39"/>
        <v>Schoolwide</v>
      </c>
    </row>
    <row r="307" spans="1:5" x14ac:dyDescent="0.35">
      <c r="A307" s="29" t="s">
        <v>87</v>
      </c>
      <c r="B307" s="25" t="str">
        <f t="shared" si="41"/>
        <v>Jefferson County</v>
      </c>
      <c r="C307" s="25" t="s">
        <v>712</v>
      </c>
      <c r="D307" s="25" t="s">
        <v>713</v>
      </c>
      <c r="E307" s="25" t="str">
        <f t="shared" si="39"/>
        <v>Schoolwide</v>
      </c>
    </row>
    <row r="308" spans="1:5" x14ac:dyDescent="0.35">
      <c r="A308" s="29" t="s">
        <v>87</v>
      </c>
      <c r="B308" s="25" t="str">
        <f t="shared" si="41"/>
        <v>Jefferson County</v>
      </c>
      <c r="C308" s="25" t="s">
        <v>714</v>
      </c>
      <c r="D308" s="25" t="s">
        <v>715</v>
      </c>
      <c r="E308" s="25" t="str">
        <f t="shared" si="39"/>
        <v>Schoolwide</v>
      </c>
    </row>
    <row r="309" spans="1:5" x14ac:dyDescent="0.35">
      <c r="A309" s="29" t="s">
        <v>87</v>
      </c>
      <c r="B309" s="25" t="str">
        <f t="shared" si="41"/>
        <v>Jefferson County</v>
      </c>
      <c r="C309" s="25" t="s">
        <v>716</v>
      </c>
      <c r="D309" s="25" t="s">
        <v>717</v>
      </c>
      <c r="E309" s="25" t="str">
        <f t="shared" si="39"/>
        <v>Schoolwide</v>
      </c>
    </row>
    <row r="310" spans="1:5" x14ac:dyDescent="0.35">
      <c r="A310" s="29" t="s">
        <v>87</v>
      </c>
      <c r="B310" s="25" t="str">
        <f t="shared" si="41"/>
        <v>Jefferson County</v>
      </c>
      <c r="C310" s="25" t="s">
        <v>718</v>
      </c>
      <c r="D310" s="25" t="s">
        <v>719</v>
      </c>
      <c r="E310" s="25" t="str">
        <f t="shared" si="39"/>
        <v>Schoolwide</v>
      </c>
    </row>
    <row r="311" spans="1:5" x14ac:dyDescent="0.35">
      <c r="A311" s="29" t="s">
        <v>87</v>
      </c>
      <c r="B311" s="25" t="str">
        <f t="shared" si="41"/>
        <v>Jefferson County</v>
      </c>
      <c r="C311" s="25" t="s">
        <v>720</v>
      </c>
      <c r="D311" s="25" t="s">
        <v>721</v>
      </c>
      <c r="E311" s="25" t="str">
        <f t="shared" si="39"/>
        <v>Schoolwide</v>
      </c>
    </row>
    <row r="312" spans="1:5" x14ac:dyDescent="0.35">
      <c r="A312" s="29" t="s">
        <v>87</v>
      </c>
      <c r="B312" s="25" t="str">
        <f t="shared" si="41"/>
        <v>Jefferson County</v>
      </c>
      <c r="C312" s="25" t="s">
        <v>722</v>
      </c>
      <c r="D312" s="25" t="s">
        <v>723</v>
      </c>
      <c r="E312" s="25" t="str">
        <f t="shared" si="39"/>
        <v>Schoolwide</v>
      </c>
    </row>
    <row r="313" spans="1:5" x14ac:dyDescent="0.35">
      <c r="A313" s="29" t="s">
        <v>87</v>
      </c>
      <c r="B313" s="25" t="str">
        <f t="shared" si="41"/>
        <v>Jefferson County</v>
      </c>
      <c r="C313" s="25" t="s">
        <v>724</v>
      </c>
      <c r="D313" s="25" t="s">
        <v>725</v>
      </c>
      <c r="E313" s="25" t="str">
        <f t="shared" si="39"/>
        <v>Schoolwide</v>
      </c>
    </row>
    <row r="314" spans="1:5" x14ac:dyDescent="0.35">
      <c r="A314" s="29" t="s">
        <v>87</v>
      </c>
      <c r="B314" s="25" t="str">
        <f t="shared" si="41"/>
        <v>Jefferson County</v>
      </c>
      <c r="C314" s="25" t="s">
        <v>726</v>
      </c>
      <c r="D314" s="25" t="s">
        <v>727</v>
      </c>
      <c r="E314" s="25" t="str">
        <f t="shared" si="39"/>
        <v>Schoolwide</v>
      </c>
    </row>
    <row r="315" spans="1:5" x14ac:dyDescent="0.35">
      <c r="A315" s="29" t="s">
        <v>87</v>
      </c>
      <c r="B315" s="25" t="str">
        <f t="shared" si="41"/>
        <v>Jefferson County</v>
      </c>
      <c r="C315" s="25" t="s">
        <v>728</v>
      </c>
      <c r="D315" s="25" t="s">
        <v>729</v>
      </c>
      <c r="E315" s="25" t="str">
        <f t="shared" si="39"/>
        <v>Schoolwide</v>
      </c>
    </row>
    <row r="316" spans="1:5" x14ac:dyDescent="0.35">
      <c r="A316" s="29" t="s">
        <v>115</v>
      </c>
      <c r="B316" s="25" t="str">
        <f>"Lamar County"</f>
        <v>Lamar County</v>
      </c>
      <c r="C316" s="25" t="s">
        <v>730</v>
      </c>
      <c r="D316" s="25" t="s">
        <v>731</v>
      </c>
      <c r="E316" s="25" t="str">
        <f t="shared" si="39"/>
        <v>Schoolwide</v>
      </c>
    </row>
    <row r="317" spans="1:5" x14ac:dyDescent="0.35">
      <c r="A317" s="29" t="s">
        <v>115</v>
      </c>
      <c r="B317" s="25" t="str">
        <f>"Lamar County"</f>
        <v>Lamar County</v>
      </c>
      <c r="C317" s="25" t="s">
        <v>732</v>
      </c>
      <c r="D317" s="25" t="s">
        <v>733</v>
      </c>
      <c r="E317" s="25" t="str">
        <f t="shared" si="39"/>
        <v>Schoolwide</v>
      </c>
    </row>
    <row r="318" spans="1:5" x14ac:dyDescent="0.35">
      <c r="A318" s="29" t="s">
        <v>115</v>
      </c>
      <c r="B318" s="25" t="str">
        <f>"Lamar County"</f>
        <v>Lamar County</v>
      </c>
      <c r="C318" s="25" t="s">
        <v>734</v>
      </c>
      <c r="D318" s="25" t="s">
        <v>735</v>
      </c>
      <c r="E318" s="25" t="str">
        <f t="shared" si="39"/>
        <v>Schoolwide</v>
      </c>
    </row>
    <row r="319" spans="1:5" x14ac:dyDescent="0.35">
      <c r="A319" s="29" t="s">
        <v>115</v>
      </c>
      <c r="B319" s="25" t="str">
        <f>"Lamar County"</f>
        <v>Lamar County</v>
      </c>
      <c r="C319" s="25" t="s">
        <v>736</v>
      </c>
      <c r="D319" s="25" t="s">
        <v>737</v>
      </c>
      <c r="E319" s="25" t="str">
        <f t="shared" si="39"/>
        <v>Schoolwide</v>
      </c>
    </row>
    <row r="320" spans="1:5" x14ac:dyDescent="0.35">
      <c r="A320" s="29" t="s">
        <v>212</v>
      </c>
      <c r="B320" s="25" t="str">
        <f t="shared" ref="B320:B327" si="42">"Lauderdale County"</f>
        <v>Lauderdale County</v>
      </c>
      <c r="C320" s="25" t="s">
        <v>738</v>
      </c>
      <c r="D320" s="25" t="s">
        <v>739</v>
      </c>
      <c r="E320" s="25" t="str">
        <f t="shared" si="39"/>
        <v>Schoolwide</v>
      </c>
    </row>
    <row r="321" spans="1:5" x14ac:dyDescent="0.35">
      <c r="A321" s="29" t="s">
        <v>212</v>
      </c>
      <c r="B321" s="25" t="str">
        <f t="shared" si="42"/>
        <v>Lauderdale County</v>
      </c>
      <c r="C321" s="25" t="s">
        <v>740</v>
      </c>
      <c r="D321" s="25" t="s">
        <v>741</v>
      </c>
      <c r="E321" s="25" t="str">
        <f t="shared" si="39"/>
        <v>Schoolwide</v>
      </c>
    </row>
    <row r="322" spans="1:5" x14ac:dyDescent="0.35">
      <c r="A322" s="29" t="s">
        <v>212</v>
      </c>
      <c r="B322" s="25" t="str">
        <f t="shared" si="42"/>
        <v>Lauderdale County</v>
      </c>
      <c r="C322" s="25" t="s">
        <v>742</v>
      </c>
      <c r="D322" s="25" t="s">
        <v>743</v>
      </c>
      <c r="E322" s="25" t="str">
        <f t="shared" si="39"/>
        <v>Schoolwide</v>
      </c>
    </row>
    <row r="323" spans="1:5" x14ac:dyDescent="0.35">
      <c r="A323" s="29" t="s">
        <v>212</v>
      </c>
      <c r="B323" s="25" t="str">
        <f t="shared" si="42"/>
        <v>Lauderdale County</v>
      </c>
      <c r="C323" s="25" t="s">
        <v>744</v>
      </c>
      <c r="D323" s="25" t="s">
        <v>745</v>
      </c>
      <c r="E323" s="25" t="str">
        <f t="shared" si="39"/>
        <v>Schoolwide</v>
      </c>
    </row>
    <row r="324" spans="1:5" x14ac:dyDescent="0.35">
      <c r="A324" s="29" t="s">
        <v>212</v>
      </c>
      <c r="B324" s="25" t="str">
        <f t="shared" si="42"/>
        <v>Lauderdale County</v>
      </c>
      <c r="C324" s="25" t="s">
        <v>746</v>
      </c>
      <c r="D324" s="25" t="s">
        <v>747</v>
      </c>
      <c r="E324" s="25" t="str">
        <f t="shared" si="39"/>
        <v>Schoolwide</v>
      </c>
    </row>
    <row r="325" spans="1:5" x14ac:dyDescent="0.35">
      <c r="A325" s="29" t="s">
        <v>212</v>
      </c>
      <c r="B325" s="25" t="str">
        <f t="shared" si="42"/>
        <v>Lauderdale County</v>
      </c>
      <c r="C325" s="25" t="s">
        <v>748</v>
      </c>
      <c r="D325" s="25" t="s">
        <v>749</v>
      </c>
      <c r="E325" s="25" t="str">
        <f t="shared" si="39"/>
        <v>Schoolwide</v>
      </c>
    </row>
    <row r="326" spans="1:5" x14ac:dyDescent="0.35">
      <c r="A326" s="29" t="s">
        <v>212</v>
      </c>
      <c r="B326" s="25" t="str">
        <f t="shared" si="42"/>
        <v>Lauderdale County</v>
      </c>
      <c r="C326" s="25" t="s">
        <v>750</v>
      </c>
      <c r="D326" s="25" t="s">
        <v>751</v>
      </c>
      <c r="E326" s="25" t="str">
        <f t="shared" si="39"/>
        <v>Schoolwide</v>
      </c>
    </row>
    <row r="327" spans="1:5" x14ac:dyDescent="0.35">
      <c r="A327" s="29" t="s">
        <v>212</v>
      </c>
      <c r="B327" s="25" t="str">
        <f t="shared" si="42"/>
        <v>Lauderdale County</v>
      </c>
      <c r="C327" s="25" t="s">
        <v>752</v>
      </c>
      <c r="D327" s="25" t="s">
        <v>753</v>
      </c>
      <c r="E327" s="25" t="str">
        <f t="shared" si="39"/>
        <v>Schoolwide</v>
      </c>
    </row>
    <row r="328" spans="1:5" x14ac:dyDescent="0.35">
      <c r="A328" s="29" t="s">
        <v>214</v>
      </c>
      <c r="B328" s="25" t="str">
        <f t="shared" ref="B328:B339" si="43">"Lawrence County"</f>
        <v>Lawrence County</v>
      </c>
      <c r="C328" s="25" t="s">
        <v>754</v>
      </c>
      <c r="D328" s="25" t="s">
        <v>755</v>
      </c>
      <c r="E328" s="25" t="str">
        <f t="shared" si="39"/>
        <v>Schoolwide</v>
      </c>
    </row>
    <row r="329" spans="1:5" x14ac:dyDescent="0.35">
      <c r="A329" s="29" t="s">
        <v>214</v>
      </c>
      <c r="B329" s="25" t="str">
        <f t="shared" si="43"/>
        <v>Lawrence County</v>
      </c>
      <c r="C329" s="25" t="s">
        <v>756</v>
      </c>
      <c r="D329" s="25" t="s">
        <v>757</v>
      </c>
      <c r="E329" s="25" t="str">
        <f t="shared" si="39"/>
        <v>Schoolwide</v>
      </c>
    </row>
    <row r="330" spans="1:5" x14ac:dyDescent="0.35">
      <c r="A330" s="29" t="s">
        <v>214</v>
      </c>
      <c r="B330" s="25" t="str">
        <f t="shared" si="43"/>
        <v>Lawrence County</v>
      </c>
      <c r="C330" s="25" t="s">
        <v>758</v>
      </c>
      <c r="D330" s="25" t="s">
        <v>759</v>
      </c>
      <c r="E330" s="25" t="str">
        <f t="shared" si="39"/>
        <v>Schoolwide</v>
      </c>
    </row>
    <row r="331" spans="1:5" x14ac:dyDescent="0.35">
      <c r="A331" s="29" t="s">
        <v>214</v>
      </c>
      <c r="B331" s="25" t="str">
        <f t="shared" si="43"/>
        <v>Lawrence County</v>
      </c>
      <c r="C331" s="25" t="s">
        <v>760</v>
      </c>
      <c r="D331" s="25" t="s">
        <v>761</v>
      </c>
      <c r="E331" s="25" t="str">
        <f t="shared" si="39"/>
        <v>Schoolwide</v>
      </c>
    </row>
    <row r="332" spans="1:5" x14ac:dyDescent="0.35">
      <c r="A332" s="29" t="s">
        <v>214</v>
      </c>
      <c r="B332" s="25" t="str">
        <f t="shared" si="43"/>
        <v>Lawrence County</v>
      </c>
      <c r="C332" s="25" t="s">
        <v>762</v>
      </c>
      <c r="D332" s="25" t="s">
        <v>763</v>
      </c>
      <c r="E332" s="25" t="str">
        <f t="shared" si="39"/>
        <v>Schoolwide</v>
      </c>
    </row>
    <row r="333" spans="1:5" x14ac:dyDescent="0.35">
      <c r="A333" s="29" t="s">
        <v>214</v>
      </c>
      <c r="B333" s="25" t="str">
        <f t="shared" si="43"/>
        <v>Lawrence County</v>
      </c>
      <c r="C333" s="25" t="s">
        <v>764</v>
      </c>
      <c r="D333" s="25" t="s">
        <v>765</v>
      </c>
      <c r="E333" s="25" t="str">
        <f t="shared" si="39"/>
        <v>Schoolwide</v>
      </c>
    </row>
    <row r="334" spans="1:5" x14ac:dyDescent="0.35">
      <c r="A334" s="29" t="s">
        <v>214</v>
      </c>
      <c r="B334" s="25" t="str">
        <f t="shared" si="43"/>
        <v>Lawrence County</v>
      </c>
      <c r="C334" s="25" t="s">
        <v>766</v>
      </c>
      <c r="D334" s="25" t="s">
        <v>767</v>
      </c>
      <c r="E334" s="25" t="str">
        <f t="shared" ref="E334:E397" si="44">"Schoolwide"</f>
        <v>Schoolwide</v>
      </c>
    </row>
    <row r="335" spans="1:5" x14ac:dyDescent="0.35">
      <c r="A335" s="29" t="s">
        <v>214</v>
      </c>
      <c r="B335" s="25" t="str">
        <f t="shared" si="43"/>
        <v>Lawrence County</v>
      </c>
      <c r="C335" s="25" t="s">
        <v>768</v>
      </c>
      <c r="D335" s="25" t="s">
        <v>769</v>
      </c>
      <c r="E335" s="25" t="str">
        <f t="shared" si="44"/>
        <v>Schoolwide</v>
      </c>
    </row>
    <row r="336" spans="1:5" x14ac:dyDescent="0.35">
      <c r="A336" s="29" t="s">
        <v>214</v>
      </c>
      <c r="B336" s="25" t="str">
        <f t="shared" si="43"/>
        <v>Lawrence County</v>
      </c>
      <c r="C336" s="25" t="s">
        <v>770</v>
      </c>
      <c r="D336" s="25" t="s">
        <v>771</v>
      </c>
      <c r="E336" s="25" t="str">
        <f t="shared" si="44"/>
        <v>Schoolwide</v>
      </c>
    </row>
    <row r="337" spans="1:5" x14ac:dyDescent="0.35">
      <c r="A337" s="29" t="s">
        <v>214</v>
      </c>
      <c r="B337" s="25" t="str">
        <f t="shared" si="43"/>
        <v>Lawrence County</v>
      </c>
      <c r="C337" s="25" t="s">
        <v>772</v>
      </c>
      <c r="D337" s="25" t="s">
        <v>773</v>
      </c>
      <c r="E337" s="25" t="str">
        <f t="shared" si="44"/>
        <v>Schoolwide</v>
      </c>
    </row>
    <row r="338" spans="1:5" x14ac:dyDescent="0.35">
      <c r="A338" s="29" t="s">
        <v>214</v>
      </c>
      <c r="B338" s="25" t="str">
        <f t="shared" si="43"/>
        <v>Lawrence County</v>
      </c>
      <c r="C338" s="25" t="s">
        <v>774</v>
      </c>
      <c r="D338" s="25" t="s">
        <v>775</v>
      </c>
      <c r="E338" s="25" t="str">
        <f t="shared" si="44"/>
        <v>Schoolwide</v>
      </c>
    </row>
    <row r="339" spans="1:5" x14ac:dyDescent="0.35">
      <c r="A339" s="29" t="s">
        <v>214</v>
      </c>
      <c r="B339" s="25" t="str">
        <f t="shared" si="43"/>
        <v>Lawrence County</v>
      </c>
      <c r="C339" s="25" t="s">
        <v>776</v>
      </c>
      <c r="D339" s="25" t="s">
        <v>777</v>
      </c>
      <c r="E339" s="25" t="str">
        <f t="shared" si="44"/>
        <v>Schoolwide</v>
      </c>
    </row>
    <row r="340" spans="1:5" x14ac:dyDescent="0.35">
      <c r="A340" s="29" t="s">
        <v>175</v>
      </c>
      <c r="B340" s="25" t="str">
        <f t="shared" ref="B340:B348" si="45">"Lee County"</f>
        <v>Lee County</v>
      </c>
      <c r="C340" s="25" t="s">
        <v>778</v>
      </c>
      <c r="D340" s="25" t="s">
        <v>779</v>
      </c>
      <c r="E340" s="25" t="str">
        <f t="shared" si="44"/>
        <v>Schoolwide</v>
      </c>
    </row>
    <row r="341" spans="1:5" x14ac:dyDescent="0.35">
      <c r="A341" s="29" t="s">
        <v>175</v>
      </c>
      <c r="B341" s="25" t="str">
        <f t="shared" si="45"/>
        <v>Lee County</v>
      </c>
      <c r="C341" s="25" t="s">
        <v>780</v>
      </c>
      <c r="D341" s="25" t="s">
        <v>781</v>
      </c>
      <c r="E341" s="25" t="str">
        <f t="shared" si="44"/>
        <v>Schoolwide</v>
      </c>
    </row>
    <row r="342" spans="1:5" x14ac:dyDescent="0.35">
      <c r="A342" s="29" t="s">
        <v>175</v>
      </c>
      <c r="B342" s="25" t="str">
        <f t="shared" si="45"/>
        <v>Lee County</v>
      </c>
      <c r="C342" s="25" t="s">
        <v>782</v>
      </c>
      <c r="D342" s="25" t="s">
        <v>783</v>
      </c>
      <c r="E342" s="25" t="str">
        <f t="shared" si="44"/>
        <v>Schoolwide</v>
      </c>
    </row>
    <row r="343" spans="1:5" x14ac:dyDescent="0.35">
      <c r="A343" s="29" t="s">
        <v>175</v>
      </c>
      <c r="B343" s="25" t="str">
        <f t="shared" si="45"/>
        <v>Lee County</v>
      </c>
      <c r="C343" s="25" t="s">
        <v>784</v>
      </c>
      <c r="D343" s="25" t="s">
        <v>785</v>
      </c>
      <c r="E343" s="25" t="str">
        <f t="shared" si="44"/>
        <v>Schoolwide</v>
      </c>
    </row>
    <row r="344" spans="1:5" x14ac:dyDescent="0.35">
      <c r="A344" s="29" t="s">
        <v>175</v>
      </c>
      <c r="B344" s="25" t="str">
        <f t="shared" si="45"/>
        <v>Lee County</v>
      </c>
      <c r="C344" s="25" t="s">
        <v>786</v>
      </c>
      <c r="D344" s="25" t="s">
        <v>787</v>
      </c>
      <c r="E344" s="25" t="str">
        <f t="shared" si="44"/>
        <v>Schoolwide</v>
      </c>
    </row>
    <row r="345" spans="1:5" x14ac:dyDescent="0.35">
      <c r="A345" s="29" t="s">
        <v>175</v>
      </c>
      <c r="B345" s="25" t="str">
        <f t="shared" si="45"/>
        <v>Lee County</v>
      </c>
      <c r="C345" s="25" t="s">
        <v>788</v>
      </c>
      <c r="D345" s="25" t="s">
        <v>789</v>
      </c>
      <c r="E345" s="25" t="str">
        <f t="shared" si="44"/>
        <v>Schoolwide</v>
      </c>
    </row>
    <row r="346" spans="1:5" x14ac:dyDescent="0.35">
      <c r="A346" s="29" t="s">
        <v>175</v>
      </c>
      <c r="B346" s="25" t="str">
        <f t="shared" si="45"/>
        <v>Lee County</v>
      </c>
      <c r="C346" s="25" t="s">
        <v>790</v>
      </c>
      <c r="D346" s="25" t="s">
        <v>791</v>
      </c>
      <c r="E346" s="25" t="str">
        <f t="shared" si="44"/>
        <v>Schoolwide</v>
      </c>
    </row>
    <row r="347" spans="1:5" x14ac:dyDescent="0.35">
      <c r="A347" s="29" t="s">
        <v>175</v>
      </c>
      <c r="B347" s="25" t="str">
        <f t="shared" si="45"/>
        <v>Lee County</v>
      </c>
      <c r="C347" s="25" t="s">
        <v>792</v>
      </c>
      <c r="D347" s="25" t="s">
        <v>793</v>
      </c>
      <c r="E347" s="25" t="str">
        <f t="shared" si="44"/>
        <v>Schoolwide</v>
      </c>
    </row>
    <row r="348" spans="1:5" x14ac:dyDescent="0.35">
      <c r="A348" s="29" t="s">
        <v>175</v>
      </c>
      <c r="B348" s="25" t="str">
        <f t="shared" si="45"/>
        <v>Lee County</v>
      </c>
      <c r="C348" s="25" t="s">
        <v>794</v>
      </c>
      <c r="D348" s="25" t="s">
        <v>795</v>
      </c>
      <c r="E348" s="25" t="str">
        <f t="shared" si="44"/>
        <v>Schoolwide</v>
      </c>
    </row>
    <row r="349" spans="1:5" x14ac:dyDescent="0.35">
      <c r="A349" s="29" t="s">
        <v>216</v>
      </c>
      <c r="B349" s="25" t="str">
        <f t="shared" ref="B349:B359" si="46">"Limestone County"</f>
        <v>Limestone County</v>
      </c>
      <c r="C349" s="25" t="s">
        <v>796</v>
      </c>
      <c r="D349" s="25" t="s">
        <v>797</v>
      </c>
      <c r="E349" s="25" t="str">
        <f t="shared" si="44"/>
        <v>Schoolwide</v>
      </c>
    </row>
    <row r="350" spans="1:5" x14ac:dyDescent="0.35">
      <c r="A350" s="29" t="s">
        <v>216</v>
      </c>
      <c r="B350" s="25" t="str">
        <f t="shared" si="46"/>
        <v>Limestone County</v>
      </c>
      <c r="C350" s="25" t="s">
        <v>798</v>
      </c>
      <c r="D350" s="25" t="s">
        <v>799</v>
      </c>
      <c r="E350" s="25" t="str">
        <f t="shared" si="44"/>
        <v>Schoolwide</v>
      </c>
    </row>
    <row r="351" spans="1:5" x14ac:dyDescent="0.35">
      <c r="A351" s="29" t="s">
        <v>216</v>
      </c>
      <c r="B351" s="25" t="str">
        <f t="shared" si="46"/>
        <v>Limestone County</v>
      </c>
      <c r="C351" s="25" t="s">
        <v>800</v>
      </c>
      <c r="D351" s="25" t="s">
        <v>801</v>
      </c>
      <c r="E351" s="25" t="str">
        <f t="shared" si="44"/>
        <v>Schoolwide</v>
      </c>
    </row>
    <row r="352" spans="1:5" x14ac:dyDescent="0.35">
      <c r="A352" s="29" t="s">
        <v>216</v>
      </c>
      <c r="B352" s="25" t="str">
        <f t="shared" si="46"/>
        <v>Limestone County</v>
      </c>
      <c r="C352" s="25" t="s">
        <v>802</v>
      </c>
      <c r="D352" s="25" t="s">
        <v>803</v>
      </c>
      <c r="E352" s="25" t="str">
        <f t="shared" si="44"/>
        <v>Schoolwide</v>
      </c>
    </row>
    <row r="353" spans="1:5" x14ac:dyDescent="0.35">
      <c r="A353" s="29" t="s">
        <v>216</v>
      </c>
      <c r="B353" s="25" t="str">
        <f t="shared" si="46"/>
        <v>Limestone County</v>
      </c>
      <c r="C353" s="25" t="s">
        <v>804</v>
      </c>
      <c r="D353" s="25" t="s">
        <v>805</v>
      </c>
      <c r="E353" s="25" t="str">
        <f t="shared" si="44"/>
        <v>Schoolwide</v>
      </c>
    </row>
    <row r="354" spans="1:5" x14ac:dyDescent="0.35">
      <c r="A354" s="29" t="s">
        <v>216</v>
      </c>
      <c r="B354" s="25" t="str">
        <f t="shared" si="46"/>
        <v>Limestone County</v>
      </c>
      <c r="C354" s="25" t="s">
        <v>806</v>
      </c>
      <c r="D354" s="25" t="s">
        <v>807</v>
      </c>
      <c r="E354" s="25" t="str">
        <f t="shared" si="44"/>
        <v>Schoolwide</v>
      </c>
    </row>
    <row r="355" spans="1:5" x14ac:dyDescent="0.35">
      <c r="A355" s="29" t="s">
        <v>216</v>
      </c>
      <c r="B355" s="25" t="str">
        <f t="shared" si="46"/>
        <v>Limestone County</v>
      </c>
      <c r="C355" s="25" t="s">
        <v>808</v>
      </c>
      <c r="D355" s="25" t="s">
        <v>809</v>
      </c>
      <c r="E355" s="25" t="str">
        <f t="shared" si="44"/>
        <v>Schoolwide</v>
      </c>
    </row>
    <row r="356" spans="1:5" x14ac:dyDescent="0.35">
      <c r="A356" s="29" t="s">
        <v>216</v>
      </c>
      <c r="B356" s="25" t="str">
        <f t="shared" si="46"/>
        <v>Limestone County</v>
      </c>
      <c r="C356" s="25" t="s">
        <v>810</v>
      </c>
      <c r="D356" s="25" t="s">
        <v>811</v>
      </c>
      <c r="E356" s="25" t="str">
        <f t="shared" si="44"/>
        <v>Schoolwide</v>
      </c>
    </row>
    <row r="357" spans="1:5" x14ac:dyDescent="0.35">
      <c r="A357" s="29" t="s">
        <v>216</v>
      </c>
      <c r="B357" s="25" t="str">
        <f t="shared" si="46"/>
        <v>Limestone County</v>
      </c>
      <c r="C357" s="25" t="s">
        <v>812</v>
      </c>
      <c r="D357" s="25" t="s">
        <v>813</v>
      </c>
      <c r="E357" s="25" t="str">
        <f t="shared" si="44"/>
        <v>Schoolwide</v>
      </c>
    </row>
    <row r="358" spans="1:5" x14ac:dyDescent="0.35">
      <c r="A358" s="29" t="s">
        <v>216</v>
      </c>
      <c r="B358" s="25" t="str">
        <f t="shared" si="46"/>
        <v>Limestone County</v>
      </c>
      <c r="C358" s="25" t="s">
        <v>814</v>
      </c>
      <c r="D358" s="25" t="s">
        <v>815</v>
      </c>
      <c r="E358" s="25" t="str">
        <f t="shared" si="44"/>
        <v>Schoolwide</v>
      </c>
    </row>
    <row r="359" spans="1:5" x14ac:dyDescent="0.35">
      <c r="A359" s="29" t="s">
        <v>216</v>
      </c>
      <c r="B359" s="25" t="str">
        <f t="shared" si="46"/>
        <v>Limestone County</v>
      </c>
      <c r="C359" s="25" t="s">
        <v>816</v>
      </c>
      <c r="D359" s="25" t="s">
        <v>817</v>
      </c>
      <c r="E359" s="25" t="str">
        <f t="shared" si="44"/>
        <v>Schoolwide</v>
      </c>
    </row>
    <row r="360" spans="1:5" x14ac:dyDescent="0.35">
      <c r="A360" s="29" t="s">
        <v>27</v>
      </c>
      <c r="B360" s="25" t="str">
        <f t="shared" ref="B360:B366" si="47">"Lowndes County"</f>
        <v>Lowndes County</v>
      </c>
      <c r="C360" s="25" t="s">
        <v>818</v>
      </c>
      <c r="D360" s="25" t="s">
        <v>819</v>
      </c>
      <c r="E360" s="25" t="str">
        <f t="shared" si="44"/>
        <v>Schoolwide</v>
      </c>
    </row>
    <row r="361" spans="1:5" x14ac:dyDescent="0.35">
      <c r="A361" s="29" t="s">
        <v>27</v>
      </c>
      <c r="B361" s="25" t="str">
        <f t="shared" si="47"/>
        <v>Lowndes County</v>
      </c>
      <c r="C361" s="25" t="s">
        <v>820</v>
      </c>
      <c r="D361" s="25" t="s">
        <v>821</v>
      </c>
      <c r="E361" s="25" t="str">
        <f t="shared" si="44"/>
        <v>Schoolwide</v>
      </c>
    </row>
    <row r="362" spans="1:5" x14ac:dyDescent="0.35">
      <c r="A362" s="29" t="s">
        <v>27</v>
      </c>
      <c r="B362" s="25" t="str">
        <f t="shared" si="47"/>
        <v>Lowndes County</v>
      </c>
      <c r="C362" s="25" t="s">
        <v>822</v>
      </c>
      <c r="D362" s="25" t="s">
        <v>741</v>
      </c>
      <c r="E362" s="25" t="str">
        <f t="shared" si="44"/>
        <v>Schoolwide</v>
      </c>
    </row>
    <row r="363" spans="1:5" x14ac:dyDescent="0.35">
      <c r="A363" s="29" t="s">
        <v>27</v>
      </c>
      <c r="B363" s="25" t="str">
        <f t="shared" si="47"/>
        <v>Lowndes County</v>
      </c>
      <c r="C363" s="25" t="s">
        <v>823</v>
      </c>
      <c r="D363" s="25" t="s">
        <v>824</v>
      </c>
      <c r="E363" s="25" t="str">
        <f t="shared" si="44"/>
        <v>Schoolwide</v>
      </c>
    </row>
    <row r="364" spans="1:5" x14ac:dyDescent="0.35">
      <c r="A364" s="29" t="s">
        <v>27</v>
      </c>
      <c r="B364" s="25" t="str">
        <f t="shared" si="47"/>
        <v>Lowndes County</v>
      </c>
      <c r="C364" s="25" t="s">
        <v>825</v>
      </c>
      <c r="D364" s="25" t="s">
        <v>826</v>
      </c>
      <c r="E364" s="25" t="str">
        <f t="shared" si="44"/>
        <v>Schoolwide</v>
      </c>
    </row>
    <row r="365" spans="1:5" x14ac:dyDescent="0.35">
      <c r="A365" s="29" t="s">
        <v>27</v>
      </c>
      <c r="B365" s="25" t="str">
        <f t="shared" si="47"/>
        <v>Lowndes County</v>
      </c>
      <c r="C365" s="25" t="s">
        <v>827</v>
      </c>
      <c r="D365" s="25" t="s">
        <v>828</v>
      </c>
      <c r="E365" s="25" t="str">
        <f t="shared" si="44"/>
        <v>Schoolwide</v>
      </c>
    </row>
    <row r="366" spans="1:5" x14ac:dyDescent="0.35">
      <c r="A366" s="29" t="s">
        <v>27</v>
      </c>
      <c r="B366" s="25" t="str">
        <f t="shared" si="47"/>
        <v>Lowndes County</v>
      </c>
      <c r="C366" s="25" t="s">
        <v>829</v>
      </c>
      <c r="D366" s="25" t="s">
        <v>830</v>
      </c>
      <c r="E366" s="25" t="str">
        <f t="shared" si="44"/>
        <v>Schoolwide</v>
      </c>
    </row>
    <row r="367" spans="1:5" x14ac:dyDescent="0.35">
      <c r="A367" s="29" t="s">
        <v>105</v>
      </c>
      <c r="B367" s="25" t="str">
        <f t="shared" ref="B367:B372" si="48">"Macon County"</f>
        <v>Macon County</v>
      </c>
      <c r="C367" s="25" t="s">
        <v>831</v>
      </c>
      <c r="D367" s="25" t="s">
        <v>832</v>
      </c>
      <c r="E367" s="25" t="str">
        <f t="shared" si="44"/>
        <v>Schoolwide</v>
      </c>
    </row>
    <row r="368" spans="1:5" x14ac:dyDescent="0.35">
      <c r="A368" s="29" t="s">
        <v>105</v>
      </c>
      <c r="B368" s="25" t="str">
        <f t="shared" si="48"/>
        <v>Macon County</v>
      </c>
      <c r="C368" s="25" t="s">
        <v>833</v>
      </c>
      <c r="D368" s="25" t="s">
        <v>834</v>
      </c>
      <c r="E368" s="25" t="str">
        <f t="shared" si="44"/>
        <v>Schoolwide</v>
      </c>
    </row>
    <row r="369" spans="1:5" x14ac:dyDescent="0.35">
      <c r="A369" s="29" t="s">
        <v>105</v>
      </c>
      <c r="B369" s="25" t="str">
        <f t="shared" si="48"/>
        <v>Macon County</v>
      </c>
      <c r="C369" s="25" t="s">
        <v>835</v>
      </c>
      <c r="D369" s="25" t="s">
        <v>836</v>
      </c>
      <c r="E369" s="25" t="str">
        <f t="shared" si="44"/>
        <v>Schoolwide</v>
      </c>
    </row>
    <row r="370" spans="1:5" x14ac:dyDescent="0.35">
      <c r="A370" s="29" t="s">
        <v>105</v>
      </c>
      <c r="B370" s="25" t="str">
        <f t="shared" si="48"/>
        <v>Macon County</v>
      </c>
      <c r="C370" s="25" t="s">
        <v>837</v>
      </c>
      <c r="D370" s="25" t="s">
        <v>838</v>
      </c>
      <c r="E370" s="25" t="str">
        <f t="shared" si="44"/>
        <v>Schoolwide</v>
      </c>
    </row>
    <row r="371" spans="1:5" x14ac:dyDescent="0.35">
      <c r="A371" s="29" t="s">
        <v>105</v>
      </c>
      <c r="B371" s="25" t="str">
        <f t="shared" si="48"/>
        <v>Macon County</v>
      </c>
      <c r="C371" s="25" t="s">
        <v>839</v>
      </c>
      <c r="D371" s="25" t="s">
        <v>840</v>
      </c>
      <c r="E371" s="25" t="str">
        <f t="shared" si="44"/>
        <v>Schoolwide</v>
      </c>
    </row>
    <row r="372" spans="1:5" x14ac:dyDescent="0.35">
      <c r="A372" s="29" t="s">
        <v>105</v>
      </c>
      <c r="B372" s="25" t="str">
        <f t="shared" si="48"/>
        <v>Macon County</v>
      </c>
      <c r="C372" s="25" t="s">
        <v>841</v>
      </c>
      <c r="D372" s="25" t="s">
        <v>842</v>
      </c>
      <c r="E372" s="25" t="str">
        <f t="shared" si="44"/>
        <v>Schoolwide</v>
      </c>
    </row>
    <row r="373" spans="1:5" x14ac:dyDescent="0.35">
      <c r="A373" s="29" t="s">
        <v>218</v>
      </c>
      <c r="B373" s="25" t="str">
        <f t="shared" ref="B373:B383" si="49">"Madison County"</f>
        <v>Madison County</v>
      </c>
      <c r="C373" s="25" t="s">
        <v>843</v>
      </c>
      <c r="D373" s="25" t="s">
        <v>844</v>
      </c>
      <c r="E373" s="25" t="str">
        <f t="shared" si="44"/>
        <v>Schoolwide</v>
      </c>
    </row>
    <row r="374" spans="1:5" x14ac:dyDescent="0.35">
      <c r="A374" s="29" t="s">
        <v>218</v>
      </c>
      <c r="B374" s="25" t="str">
        <f t="shared" si="49"/>
        <v>Madison County</v>
      </c>
      <c r="C374" s="25" t="s">
        <v>845</v>
      </c>
      <c r="D374" s="25" t="s">
        <v>846</v>
      </c>
      <c r="E374" s="25" t="str">
        <f t="shared" si="44"/>
        <v>Schoolwide</v>
      </c>
    </row>
    <row r="375" spans="1:5" x14ac:dyDescent="0.35">
      <c r="A375" s="29" t="s">
        <v>218</v>
      </c>
      <c r="B375" s="25" t="str">
        <f t="shared" si="49"/>
        <v>Madison County</v>
      </c>
      <c r="C375" s="25" t="s">
        <v>847</v>
      </c>
      <c r="D375" s="25" t="s">
        <v>848</v>
      </c>
      <c r="E375" s="25" t="str">
        <f t="shared" si="44"/>
        <v>Schoolwide</v>
      </c>
    </row>
    <row r="376" spans="1:5" x14ac:dyDescent="0.35">
      <c r="A376" s="29" t="s">
        <v>218</v>
      </c>
      <c r="B376" s="25" t="str">
        <f t="shared" si="49"/>
        <v>Madison County</v>
      </c>
      <c r="C376" s="25" t="s">
        <v>849</v>
      </c>
      <c r="D376" s="25" t="s">
        <v>850</v>
      </c>
      <c r="E376" s="25" t="str">
        <f t="shared" si="44"/>
        <v>Schoolwide</v>
      </c>
    </row>
    <row r="377" spans="1:5" x14ac:dyDescent="0.35">
      <c r="A377" s="29" t="s">
        <v>218</v>
      </c>
      <c r="B377" s="25" t="str">
        <f t="shared" si="49"/>
        <v>Madison County</v>
      </c>
      <c r="C377" s="25" t="s">
        <v>851</v>
      </c>
      <c r="D377" s="25" t="s">
        <v>852</v>
      </c>
      <c r="E377" s="25" t="str">
        <f t="shared" si="44"/>
        <v>Schoolwide</v>
      </c>
    </row>
    <row r="378" spans="1:5" x14ac:dyDescent="0.35">
      <c r="A378" s="29" t="s">
        <v>218</v>
      </c>
      <c r="B378" s="25" t="str">
        <f t="shared" si="49"/>
        <v>Madison County</v>
      </c>
      <c r="C378" s="25" t="s">
        <v>853</v>
      </c>
      <c r="D378" s="25" t="s">
        <v>854</v>
      </c>
      <c r="E378" s="25" t="str">
        <f t="shared" si="44"/>
        <v>Schoolwide</v>
      </c>
    </row>
    <row r="379" spans="1:5" x14ac:dyDescent="0.35">
      <c r="A379" s="29" t="s">
        <v>218</v>
      </c>
      <c r="B379" s="25" t="str">
        <f t="shared" si="49"/>
        <v>Madison County</v>
      </c>
      <c r="C379" s="25" t="s">
        <v>855</v>
      </c>
      <c r="D379" s="25" t="s">
        <v>856</v>
      </c>
      <c r="E379" s="25" t="str">
        <f t="shared" si="44"/>
        <v>Schoolwide</v>
      </c>
    </row>
    <row r="380" spans="1:5" x14ac:dyDescent="0.35">
      <c r="A380" s="29" t="s">
        <v>218</v>
      </c>
      <c r="B380" s="25" t="str">
        <f t="shared" si="49"/>
        <v>Madison County</v>
      </c>
      <c r="C380" s="25" t="s">
        <v>857</v>
      </c>
      <c r="D380" s="25" t="s">
        <v>858</v>
      </c>
      <c r="E380" s="25" t="str">
        <f t="shared" si="44"/>
        <v>Schoolwide</v>
      </c>
    </row>
    <row r="381" spans="1:5" x14ac:dyDescent="0.35">
      <c r="A381" s="29" t="s">
        <v>218</v>
      </c>
      <c r="B381" s="25" t="str">
        <f t="shared" si="49"/>
        <v>Madison County</v>
      </c>
      <c r="C381" s="25" t="s">
        <v>859</v>
      </c>
      <c r="D381" s="25" t="s">
        <v>860</v>
      </c>
      <c r="E381" s="25" t="str">
        <f t="shared" si="44"/>
        <v>Schoolwide</v>
      </c>
    </row>
    <row r="382" spans="1:5" x14ac:dyDescent="0.35">
      <c r="A382" s="29" t="s">
        <v>218</v>
      </c>
      <c r="B382" s="25" t="str">
        <f t="shared" si="49"/>
        <v>Madison County</v>
      </c>
      <c r="C382" s="25" t="s">
        <v>861</v>
      </c>
      <c r="D382" s="25" t="s">
        <v>862</v>
      </c>
      <c r="E382" s="25" t="str">
        <f t="shared" si="44"/>
        <v>Schoolwide</v>
      </c>
    </row>
    <row r="383" spans="1:5" x14ac:dyDescent="0.35">
      <c r="A383" s="29" t="s">
        <v>218</v>
      </c>
      <c r="B383" s="25" t="str">
        <f t="shared" si="49"/>
        <v>Madison County</v>
      </c>
      <c r="C383" s="25" t="s">
        <v>863</v>
      </c>
      <c r="D383" s="25" t="s">
        <v>864</v>
      </c>
      <c r="E383" s="25" t="str">
        <f t="shared" si="44"/>
        <v>Schoolwide</v>
      </c>
    </row>
    <row r="384" spans="1:5" x14ac:dyDescent="0.35">
      <c r="A384" s="29" t="s">
        <v>17</v>
      </c>
      <c r="B384" s="25" t="str">
        <f>"Marengo County"</f>
        <v>Marengo County</v>
      </c>
      <c r="C384" s="25" t="s">
        <v>865</v>
      </c>
      <c r="D384" s="25" t="s">
        <v>866</v>
      </c>
      <c r="E384" s="25" t="str">
        <f t="shared" si="44"/>
        <v>Schoolwide</v>
      </c>
    </row>
    <row r="385" spans="1:5" x14ac:dyDescent="0.35">
      <c r="A385" s="29" t="s">
        <v>17</v>
      </c>
      <c r="B385" s="25" t="str">
        <f>"Marengo County"</f>
        <v>Marengo County</v>
      </c>
      <c r="C385" s="25" t="s">
        <v>867</v>
      </c>
      <c r="D385" s="25" t="s">
        <v>868</v>
      </c>
      <c r="E385" s="25" t="str">
        <f t="shared" si="44"/>
        <v>Schoolwide</v>
      </c>
    </row>
    <row r="386" spans="1:5" x14ac:dyDescent="0.35">
      <c r="A386" s="29" t="s">
        <v>17</v>
      </c>
      <c r="B386" s="25" t="str">
        <f>"Marengo County"</f>
        <v>Marengo County</v>
      </c>
      <c r="C386" s="25" t="s">
        <v>869</v>
      </c>
      <c r="D386" s="25" t="s">
        <v>870</v>
      </c>
      <c r="E386" s="25" t="str">
        <f t="shared" si="44"/>
        <v>Schoolwide</v>
      </c>
    </row>
    <row r="387" spans="1:5" x14ac:dyDescent="0.35">
      <c r="A387" s="29" t="s">
        <v>163</v>
      </c>
      <c r="B387" s="25" t="str">
        <f t="shared" ref="B387:B392" si="50">"Marion County"</f>
        <v>Marion County</v>
      </c>
      <c r="C387" s="25" t="s">
        <v>871</v>
      </c>
      <c r="D387" s="25" t="s">
        <v>872</v>
      </c>
      <c r="E387" s="25" t="str">
        <f t="shared" si="44"/>
        <v>Schoolwide</v>
      </c>
    </row>
    <row r="388" spans="1:5" x14ac:dyDescent="0.35">
      <c r="A388" s="29" t="s">
        <v>163</v>
      </c>
      <c r="B388" s="25" t="str">
        <f t="shared" si="50"/>
        <v>Marion County</v>
      </c>
      <c r="C388" s="25" t="s">
        <v>873</v>
      </c>
      <c r="D388" s="25" t="s">
        <v>874</v>
      </c>
      <c r="E388" s="25" t="str">
        <f t="shared" si="44"/>
        <v>Schoolwide</v>
      </c>
    </row>
    <row r="389" spans="1:5" x14ac:dyDescent="0.35">
      <c r="A389" s="29" t="s">
        <v>163</v>
      </c>
      <c r="B389" s="25" t="str">
        <f t="shared" si="50"/>
        <v>Marion County</v>
      </c>
      <c r="C389" s="25" t="s">
        <v>875</v>
      </c>
      <c r="D389" s="25" t="s">
        <v>876</v>
      </c>
      <c r="E389" s="25" t="str">
        <f t="shared" si="44"/>
        <v>Schoolwide</v>
      </c>
    </row>
    <row r="390" spans="1:5" x14ac:dyDescent="0.35">
      <c r="A390" s="29" t="s">
        <v>163</v>
      </c>
      <c r="B390" s="25" t="str">
        <f t="shared" si="50"/>
        <v>Marion County</v>
      </c>
      <c r="C390" s="25" t="s">
        <v>877</v>
      </c>
      <c r="D390" s="25" t="s">
        <v>878</v>
      </c>
      <c r="E390" s="25" t="str">
        <f t="shared" si="44"/>
        <v>Schoolwide</v>
      </c>
    </row>
    <row r="391" spans="1:5" x14ac:dyDescent="0.35">
      <c r="A391" s="29" t="s">
        <v>163</v>
      </c>
      <c r="B391" s="25" t="str">
        <f t="shared" si="50"/>
        <v>Marion County</v>
      </c>
      <c r="C391" s="25" t="s">
        <v>879</v>
      </c>
      <c r="D391" s="25" t="s">
        <v>880</v>
      </c>
      <c r="E391" s="25" t="str">
        <f t="shared" si="44"/>
        <v>Schoolwide</v>
      </c>
    </row>
    <row r="392" spans="1:5" x14ac:dyDescent="0.35">
      <c r="A392" s="29" t="s">
        <v>163</v>
      </c>
      <c r="B392" s="25" t="str">
        <f t="shared" si="50"/>
        <v>Marion County</v>
      </c>
      <c r="C392" s="25" t="s">
        <v>881</v>
      </c>
      <c r="D392" s="25" t="s">
        <v>882</v>
      </c>
      <c r="E392" s="25" t="str">
        <f t="shared" si="44"/>
        <v>Schoolwide</v>
      </c>
    </row>
    <row r="393" spans="1:5" x14ac:dyDescent="0.35">
      <c r="A393" s="29" t="s">
        <v>111</v>
      </c>
      <c r="B393" s="25" t="str">
        <f t="shared" ref="B393:B404" si="51">"Marshall County"</f>
        <v>Marshall County</v>
      </c>
      <c r="C393" s="25" t="s">
        <v>883</v>
      </c>
      <c r="D393" s="25" t="s">
        <v>884</v>
      </c>
      <c r="E393" s="25" t="str">
        <f t="shared" si="44"/>
        <v>Schoolwide</v>
      </c>
    </row>
    <row r="394" spans="1:5" x14ac:dyDescent="0.35">
      <c r="A394" s="29" t="s">
        <v>111</v>
      </c>
      <c r="B394" s="25" t="str">
        <f t="shared" si="51"/>
        <v>Marshall County</v>
      </c>
      <c r="C394" s="25" t="s">
        <v>885</v>
      </c>
      <c r="D394" s="25" t="s">
        <v>886</v>
      </c>
      <c r="E394" s="25" t="str">
        <f t="shared" si="44"/>
        <v>Schoolwide</v>
      </c>
    </row>
    <row r="395" spans="1:5" x14ac:dyDescent="0.35">
      <c r="A395" s="29" t="s">
        <v>111</v>
      </c>
      <c r="B395" s="25" t="str">
        <f t="shared" si="51"/>
        <v>Marshall County</v>
      </c>
      <c r="C395" s="25" t="s">
        <v>887</v>
      </c>
      <c r="D395" s="25" t="s">
        <v>888</v>
      </c>
      <c r="E395" s="25" t="str">
        <f t="shared" si="44"/>
        <v>Schoolwide</v>
      </c>
    </row>
    <row r="396" spans="1:5" x14ac:dyDescent="0.35">
      <c r="A396" s="29" t="s">
        <v>111</v>
      </c>
      <c r="B396" s="25" t="str">
        <f t="shared" si="51"/>
        <v>Marshall County</v>
      </c>
      <c r="C396" s="25" t="s">
        <v>889</v>
      </c>
      <c r="D396" s="25" t="s">
        <v>890</v>
      </c>
      <c r="E396" s="25" t="str">
        <f t="shared" si="44"/>
        <v>Schoolwide</v>
      </c>
    </row>
    <row r="397" spans="1:5" x14ac:dyDescent="0.35">
      <c r="A397" s="29" t="s">
        <v>111</v>
      </c>
      <c r="B397" s="25" t="str">
        <f t="shared" si="51"/>
        <v>Marshall County</v>
      </c>
      <c r="C397" s="25" t="s">
        <v>891</v>
      </c>
      <c r="D397" s="25" t="s">
        <v>892</v>
      </c>
      <c r="E397" s="25" t="str">
        <f t="shared" si="44"/>
        <v>Schoolwide</v>
      </c>
    </row>
    <row r="398" spans="1:5" x14ac:dyDescent="0.35">
      <c r="A398" s="29" t="s">
        <v>111</v>
      </c>
      <c r="B398" s="25" t="str">
        <f t="shared" si="51"/>
        <v>Marshall County</v>
      </c>
      <c r="C398" s="25" t="s">
        <v>893</v>
      </c>
      <c r="D398" s="25" t="s">
        <v>894</v>
      </c>
      <c r="E398" s="25" t="str">
        <f t="shared" ref="E398:E461" si="52">"Schoolwide"</f>
        <v>Schoolwide</v>
      </c>
    </row>
    <row r="399" spans="1:5" x14ac:dyDescent="0.35">
      <c r="A399" s="29" t="s">
        <v>111</v>
      </c>
      <c r="B399" s="25" t="str">
        <f t="shared" si="51"/>
        <v>Marshall County</v>
      </c>
      <c r="C399" s="25" t="s">
        <v>895</v>
      </c>
      <c r="D399" s="25" t="s">
        <v>896</v>
      </c>
      <c r="E399" s="25" t="str">
        <f t="shared" si="52"/>
        <v>Schoolwide</v>
      </c>
    </row>
    <row r="400" spans="1:5" x14ac:dyDescent="0.35">
      <c r="A400" s="29" t="s">
        <v>111</v>
      </c>
      <c r="B400" s="25" t="str">
        <f t="shared" si="51"/>
        <v>Marshall County</v>
      </c>
      <c r="C400" s="25" t="s">
        <v>897</v>
      </c>
      <c r="D400" s="25" t="s">
        <v>898</v>
      </c>
      <c r="E400" s="25" t="str">
        <f t="shared" si="52"/>
        <v>Schoolwide</v>
      </c>
    </row>
    <row r="401" spans="1:5" x14ac:dyDescent="0.35">
      <c r="A401" s="29" t="s">
        <v>111</v>
      </c>
      <c r="B401" s="25" t="str">
        <f t="shared" si="51"/>
        <v>Marshall County</v>
      </c>
      <c r="C401" s="25" t="s">
        <v>899</v>
      </c>
      <c r="D401" s="25" t="s">
        <v>900</v>
      </c>
      <c r="E401" s="25" t="str">
        <f t="shared" si="52"/>
        <v>Schoolwide</v>
      </c>
    </row>
    <row r="402" spans="1:5" x14ac:dyDescent="0.35">
      <c r="A402" s="29" t="s">
        <v>111</v>
      </c>
      <c r="B402" s="25" t="str">
        <f t="shared" si="51"/>
        <v>Marshall County</v>
      </c>
      <c r="C402" s="25" t="s">
        <v>901</v>
      </c>
      <c r="D402" s="25" t="s">
        <v>902</v>
      </c>
      <c r="E402" s="25" t="str">
        <f t="shared" si="52"/>
        <v>Schoolwide</v>
      </c>
    </row>
    <row r="403" spans="1:5" x14ac:dyDescent="0.35">
      <c r="A403" s="29" t="s">
        <v>111</v>
      </c>
      <c r="B403" s="25" t="str">
        <f t="shared" si="51"/>
        <v>Marshall County</v>
      </c>
      <c r="C403" s="25" t="s">
        <v>903</v>
      </c>
      <c r="D403" s="25" t="s">
        <v>904</v>
      </c>
      <c r="E403" s="25" t="str">
        <f t="shared" si="52"/>
        <v>Schoolwide</v>
      </c>
    </row>
    <row r="404" spans="1:5" x14ac:dyDescent="0.35">
      <c r="A404" s="29" t="s">
        <v>111</v>
      </c>
      <c r="B404" s="25" t="str">
        <f t="shared" si="51"/>
        <v>Marshall County</v>
      </c>
      <c r="C404" s="25" t="s">
        <v>905</v>
      </c>
      <c r="D404" s="25" t="s">
        <v>906</v>
      </c>
      <c r="E404" s="25" t="str">
        <f t="shared" si="52"/>
        <v>Schoolwide</v>
      </c>
    </row>
    <row r="405" spans="1:5" x14ac:dyDescent="0.35">
      <c r="A405" s="29" t="s">
        <v>183</v>
      </c>
      <c r="B405" s="25" t="str">
        <f t="shared" ref="B405:B468" si="53">"Mobile County"</f>
        <v>Mobile County</v>
      </c>
      <c r="C405" s="25" t="s">
        <v>907</v>
      </c>
      <c r="D405" s="25" t="s">
        <v>908</v>
      </c>
      <c r="E405" s="25" t="str">
        <f t="shared" si="52"/>
        <v>Schoolwide</v>
      </c>
    </row>
    <row r="406" spans="1:5" x14ac:dyDescent="0.35">
      <c r="A406" s="29" t="s">
        <v>183</v>
      </c>
      <c r="B406" s="25" t="str">
        <f t="shared" si="53"/>
        <v>Mobile County</v>
      </c>
      <c r="C406" s="25" t="s">
        <v>909</v>
      </c>
      <c r="D406" s="25" t="s">
        <v>910</v>
      </c>
      <c r="E406" s="25" t="str">
        <f t="shared" si="52"/>
        <v>Schoolwide</v>
      </c>
    </row>
    <row r="407" spans="1:5" x14ac:dyDescent="0.35">
      <c r="A407" s="29" t="s">
        <v>183</v>
      </c>
      <c r="B407" s="25" t="str">
        <f t="shared" si="53"/>
        <v>Mobile County</v>
      </c>
      <c r="C407" s="25" t="s">
        <v>911</v>
      </c>
      <c r="D407" s="25" t="s">
        <v>912</v>
      </c>
      <c r="E407" s="25" t="str">
        <f t="shared" si="52"/>
        <v>Schoolwide</v>
      </c>
    </row>
    <row r="408" spans="1:5" x14ac:dyDescent="0.35">
      <c r="A408" s="29" t="s">
        <v>183</v>
      </c>
      <c r="B408" s="25" t="str">
        <f t="shared" si="53"/>
        <v>Mobile County</v>
      </c>
      <c r="C408" s="25" t="s">
        <v>913</v>
      </c>
      <c r="D408" s="25" t="s">
        <v>914</v>
      </c>
      <c r="E408" s="25" t="str">
        <f t="shared" si="52"/>
        <v>Schoolwide</v>
      </c>
    </row>
    <row r="409" spans="1:5" x14ac:dyDescent="0.35">
      <c r="A409" s="29" t="s">
        <v>183</v>
      </c>
      <c r="B409" s="25" t="str">
        <f t="shared" si="53"/>
        <v>Mobile County</v>
      </c>
      <c r="C409" s="25" t="s">
        <v>915</v>
      </c>
      <c r="D409" s="25" t="s">
        <v>916</v>
      </c>
      <c r="E409" s="25" t="str">
        <f t="shared" si="52"/>
        <v>Schoolwide</v>
      </c>
    </row>
    <row r="410" spans="1:5" x14ac:dyDescent="0.35">
      <c r="A410" s="29" t="s">
        <v>183</v>
      </c>
      <c r="B410" s="25" t="str">
        <f t="shared" si="53"/>
        <v>Mobile County</v>
      </c>
      <c r="C410" s="25" t="s">
        <v>917</v>
      </c>
      <c r="D410" s="25" t="s">
        <v>918</v>
      </c>
      <c r="E410" s="25" t="str">
        <f t="shared" si="52"/>
        <v>Schoolwide</v>
      </c>
    </row>
    <row r="411" spans="1:5" x14ac:dyDescent="0.35">
      <c r="A411" s="29" t="s">
        <v>183</v>
      </c>
      <c r="B411" s="25" t="str">
        <f t="shared" si="53"/>
        <v>Mobile County</v>
      </c>
      <c r="C411" s="25" t="s">
        <v>919</v>
      </c>
      <c r="D411" s="25" t="s">
        <v>920</v>
      </c>
      <c r="E411" s="25" t="str">
        <f t="shared" si="52"/>
        <v>Schoolwide</v>
      </c>
    </row>
    <row r="412" spans="1:5" x14ac:dyDescent="0.35">
      <c r="A412" s="29" t="s">
        <v>183</v>
      </c>
      <c r="B412" s="25" t="str">
        <f t="shared" si="53"/>
        <v>Mobile County</v>
      </c>
      <c r="C412" s="25" t="s">
        <v>921</v>
      </c>
      <c r="D412" s="25" t="s">
        <v>922</v>
      </c>
      <c r="E412" s="25" t="str">
        <f t="shared" si="52"/>
        <v>Schoolwide</v>
      </c>
    </row>
    <row r="413" spans="1:5" x14ac:dyDescent="0.35">
      <c r="A413" s="29" t="s">
        <v>183</v>
      </c>
      <c r="B413" s="25" t="str">
        <f t="shared" si="53"/>
        <v>Mobile County</v>
      </c>
      <c r="C413" s="25" t="s">
        <v>923</v>
      </c>
      <c r="D413" s="25" t="s">
        <v>924</v>
      </c>
      <c r="E413" s="25" t="str">
        <f t="shared" si="52"/>
        <v>Schoolwide</v>
      </c>
    </row>
    <row r="414" spans="1:5" x14ac:dyDescent="0.35">
      <c r="A414" s="29" t="s">
        <v>183</v>
      </c>
      <c r="B414" s="25" t="str">
        <f t="shared" si="53"/>
        <v>Mobile County</v>
      </c>
      <c r="C414" s="25" t="s">
        <v>925</v>
      </c>
      <c r="D414" s="25" t="s">
        <v>926</v>
      </c>
      <c r="E414" s="25" t="str">
        <f t="shared" si="52"/>
        <v>Schoolwide</v>
      </c>
    </row>
    <row r="415" spans="1:5" x14ac:dyDescent="0.35">
      <c r="A415" s="29" t="s">
        <v>183</v>
      </c>
      <c r="B415" s="25" t="str">
        <f t="shared" si="53"/>
        <v>Mobile County</v>
      </c>
      <c r="C415" s="25" t="s">
        <v>927</v>
      </c>
      <c r="D415" s="25" t="s">
        <v>928</v>
      </c>
      <c r="E415" s="25" t="str">
        <f t="shared" si="52"/>
        <v>Schoolwide</v>
      </c>
    </row>
    <row r="416" spans="1:5" x14ac:dyDescent="0.35">
      <c r="A416" s="29" t="s">
        <v>183</v>
      </c>
      <c r="B416" s="25" t="str">
        <f t="shared" si="53"/>
        <v>Mobile County</v>
      </c>
      <c r="C416" s="25" t="s">
        <v>929</v>
      </c>
      <c r="D416" s="25" t="s">
        <v>930</v>
      </c>
      <c r="E416" s="25" t="str">
        <f t="shared" si="52"/>
        <v>Schoolwide</v>
      </c>
    </row>
    <row r="417" spans="1:5" x14ac:dyDescent="0.35">
      <c r="A417" s="29" t="s">
        <v>183</v>
      </c>
      <c r="B417" s="25" t="str">
        <f t="shared" si="53"/>
        <v>Mobile County</v>
      </c>
      <c r="C417" s="25" t="s">
        <v>931</v>
      </c>
      <c r="D417" s="25" t="s">
        <v>932</v>
      </c>
      <c r="E417" s="25" t="str">
        <f t="shared" si="52"/>
        <v>Schoolwide</v>
      </c>
    </row>
    <row r="418" spans="1:5" x14ac:dyDescent="0.35">
      <c r="A418" s="29" t="s">
        <v>183</v>
      </c>
      <c r="B418" s="25" t="str">
        <f t="shared" si="53"/>
        <v>Mobile County</v>
      </c>
      <c r="C418" s="25" t="s">
        <v>933</v>
      </c>
      <c r="D418" s="25" t="s">
        <v>934</v>
      </c>
      <c r="E418" s="25" t="str">
        <f t="shared" si="52"/>
        <v>Schoolwide</v>
      </c>
    </row>
    <row r="419" spans="1:5" x14ac:dyDescent="0.35">
      <c r="A419" s="29" t="s">
        <v>183</v>
      </c>
      <c r="B419" s="25" t="str">
        <f t="shared" si="53"/>
        <v>Mobile County</v>
      </c>
      <c r="C419" s="25" t="s">
        <v>935</v>
      </c>
      <c r="D419" s="25" t="s">
        <v>936</v>
      </c>
      <c r="E419" s="25" t="str">
        <f t="shared" si="52"/>
        <v>Schoolwide</v>
      </c>
    </row>
    <row r="420" spans="1:5" x14ac:dyDescent="0.35">
      <c r="A420" s="29" t="s">
        <v>183</v>
      </c>
      <c r="B420" s="25" t="str">
        <f t="shared" si="53"/>
        <v>Mobile County</v>
      </c>
      <c r="C420" s="25" t="s">
        <v>937</v>
      </c>
      <c r="D420" s="25" t="s">
        <v>938</v>
      </c>
      <c r="E420" s="25" t="str">
        <f t="shared" si="52"/>
        <v>Schoolwide</v>
      </c>
    </row>
    <row r="421" spans="1:5" x14ac:dyDescent="0.35">
      <c r="A421" s="29" t="s">
        <v>183</v>
      </c>
      <c r="B421" s="25" t="str">
        <f t="shared" si="53"/>
        <v>Mobile County</v>
      </c>
      <c r="C421" s="25" t="s">
        <v>939</v>
      </c>
      <c r="D421" s="25" t="s">
        <v>940</v>
      </c>
      <c r="E421" s="25" t="str">
        <f t="shared" si="52"/>
        <v>Schoolwide</v>
      </c>
    </row>
    <row r="422" spans="1:5" x14ac:dyDescent="0.35">
      <c r="A422" s="29" t="s">
        <v>183</v>
      </c>
      <c r="B422" s="25" t="str">
        <f t="shared" si="53"/>
        <v>Mobile County</v>
      </c>
      <c r="C422" s="25" t="s">
        <v>941</v>
      </c>
      <c r="D422" s="25" t="s">
        <v>942</v>
      </c>
      <c r="E422" s="25" t="str">
        <f t="shared" si="52"/>
        <v>Schoolwide</v>
      </c>
    </row>
    <row r="423" spans="1:5" x14ac:dyDescent="0.35">
      <c r="A423" s="29" t="s">
        <v>183</v>
      </c>
      <c r="B423" s="25" t="str">
        <f t="shared" si="53"/>
        <v>Mobile County</v>
      </c>
      <c r="C423" s="25" t="s">
        <v>943</v>
      </c>
      <c r="D423" s="25" t="s">
        <v>944</v>
      </c>
      <c r="E423" s="25" t="str">
        <f t="shared" si="52"/>
        <v>Schoolwide</v>
      </c>
    </row>
    <row r="424" spans="1:5" x14ac:dyDescent="0.35">
      <c r="A424" s="29" t="s">
        <v>183</v>
      </c>
      <c r="B424" s="25" t="str">
        <f t="shared" si="53"/>
        <v>Mobile County</v>
      </c>
      <c r="C424" s="25" t="s">
        <v>945</v>
      </c>
      <c r="D424" s="25" t="s">
        <v>946</v>
      </c>
      <c r="E424" s="25" t="str">
        <f t="shared" si="52"/>
        <v>Schoolwide</v>
      </c>
    </row>
    <row r="425" spans="1:5" x14ac:dyDescent="0.35">
      <c r="A425" s="29" t="s">
        <v>183</v>
      </c>
      <c r="B425" s="25" t="str">
        <f t="shared" si="53"/>
        <v>Mobile County</v>
      </c>
      <c r="C425" s="25" t="s">
        <v>947</v>
      </c>
      <c r="D425" s="25" t="s">
        <v>948</v>
      </c>
      <c r="E425" s="25" t="str">
        <f t="shared" si="52"/>
        <v>Schoolwide</v>
      </c>
    </row>
    <row r="426" spans="1:5" x14ac:dyDescent="0.35">
      <c r="A426" s="29" t="s">
        <v>183</v>
      </c>
      <c r="B426" s="25" t="str">
        <f t="shared" si="53"/>
        <v>Mobile County</v>
      </c>
      <c r="C426" s="25" t="s">
        <v>949</v>
      </c>
      <c r="D426" s="25" t="s">
        <v>950</v>
      </c>
      <c r="E426" s="25" t="str">
        <f t="shared" si="52"/>
        <v>Schoolwide</v>
      </c>
    </row>
    <row r="427" spans="1:5" x14ac:dyDescent="0.35">
      <c r="A427" s="29" t="s">
        <v>183</v>
      </c>
      <c r="B427" s="25" t="str">
        <f t="shared" si="53"/>
        <v>Mobile County</v>
      </c>
      <c r="C427" s="25" t="s">
        <v>951</v>
      </c>
      <c r="D427" s="25" t="s">
        <v>952</v>
      </c>
      <c r="E427" s="25" t="str">
        <f t="shared" si="52"/>
        <v>Schoolwide</v>
      </c>
    </row>
    <row r="428" spans="1:5" x14ac:dyDescent="0.35">
      <c r="A428" s="29" t="s">
        <v>183</v>
      </c>
      <c r="B428" s="25" t="str">
        <f t="shared" si="53"/>
        <v>Mobile County</v>
      </c>
      <c r="C428" s="25" t="s">
        <v>953</v>
      </c>
      <c r="D428" s="25" t="s">
        <v>954</v>
      </c>
      <c r="E428" s="25" t="str">
        <f t="shared" si="52"/>
        <v>Schoolwide</v>
      </c>
    </row>
    <row r="429" spans="1:5" x14ac:dyDescent="0.35">
      <c r="A429" s="29" t="s">
        <v>183</v>
      </c>
      <c r="B429" s="25" t="str">
        <f t="shared" si="53"/>
        <v>Mobile County</v>
      </c>
      <c r="C429" s="25" t="s">
        <v>955</v>
      </c>
      <c r="D429" s="25" t="s">
        <v>956</v>
      </c>
      <c r="E429" s="25" t="str">
        <f t="shared" si="52"/>
        <v>Schoolwide</v>
      </c>
    </row>
    <row r="430" spans="1:5" x14ac:dyDescent="0.35">
      <c r="A430" s="29" t="s">
        <v>183</v>
      </c>
      <c r="B430" s="25" t="str">
        <f t="shared" si="53"/>
        <v>Mobile County</v>
      </c>
      <c r="C430" s="25" t="s">
        <v>957</v>
      </c>
      <c r="D430" s="25" t="s">
        <v>958</v>
      </c>
      <c r="E430" s="25" t="str">
        <f t="shared" si="52"/>
        <v>Schoolwide</v>
      </c>
    </row>
    <row r="431" spans="1:5" x14ac:dyDescent="0.35">
      <c r="A431" s="29" t="s">
        <v>183</v>
      </c>
      <c r="B431" s="25" t="str">
        <f t="shared" si="53"/>
        <v>Mobile County</v>
      </c>
      <c r="C431" s="25" t="s">
        <v>959</v>
      </c>
      <c r="D431" s="25" t="s">
        <v>960</v>
      </c>
      <c r="E431" s="25" t="str">
        <f t="shared" si="52"/>
        <v>Schoolwide</v>
      </c>
    </row>
    <row r="432" spans="1:5" x14ac:dyDescent="0.35">
      <c r="A432" s="29" t="s">
        <v>183</v>
      </c>
      <c r="B432" s="25" t="str">
        <f t="shared" si="53"/>
        <v>Mobile County</v>
      </c>
      <c r="C432" s="25" t="s">
        <v>961</v>
      </c>
      <c r="D432" s="25" t="s">
        <v>962</v>
      </c>
      <c r="E432" s="25" t="str">
        <f t="shared" si="52"/>
        <v>Schoolwide</v>
      </c>
    </row>
    <row r="433" spans="1:5" x14ac:dyDescent="0.35">
      <c r="A433" s="29" t="s">
        <v>183</v>
      </c>
      <c r="B433" s="25" t="str">
        <f t="shared" si="53"/>
        <v>Mobile County</v>
      </c>
      <c r="C433" s="25" t="s">
        <v>963</v>
      </c>
      <c r="D433" s="25" t="s">
        <v>964</v>
      </c>
      <c r="E433" s="25" t="str">
        <f t="shared" si="52"/>
        <v>Schoolwide</v>
      </c>
    </row>
    <row r="434" spans="1:5" x14ac:dyDescent="0.35">
      <c r="A434" s="29" t="s">
        <v>183</v>
      </c>
      <c r="B434" s="25" t="str">
        <f t="shared" si="53"/>
        <v>Mobile County</v>
      </c>
      <c r="C434" s="25" t="s">
        <v>965</v>
      </c>
      <c r="D434" s="25" t="s">
        <v>966</v>
      </c>
      <c r="E434" s="25" t="str">
        <f t="shared" si="52"/>
        <v>Schoolwide</v>
      </c>
    </row>
    <row r="435" spans="1:5" x14ac:dyDescent="0.35">
      <c r="A435" s="29" t="s">
        <v>183</v>
      </c>
      <c r="B435" s="25" t="str">
        <f t="shared" si="53"/>
        <v>Mobile County</v>
      </c>
      <c r="C435" s="25" t="s">
        <v>967</v>
      </c>
      <c r="D435" s="25" t="s">
        <v>968</v>
      </c>
      <c r="E435" s="25" t="str">
        <f t="shared" si="52"/>
        <v>Schoolwide</v>
      </c>
    </row>
    <row r="436" spans="1:5" x14ac:dyDescent="0.35">
      <c r="A436" s="29" t="s">
        <v>183</v>
      </c>
      <c r="B436" s="25" t="str">
        <f t="shared" si="53"/>
        <v>Mobile County</v>
      </c>
      <c r="C436" s="25" t="s">
        <v>969</v>
      </c>
      <c r="D436" s="25" t="s">
        <v>970</v>
      </c>
      <c r="E436" s="25" t="str">
        <f t="shared" si="52"/>
        <v>Schoolwide</v>
      </c>
    </row>
    <row r="437" spans="1:5" x14ac:dyDescent="0.35">
      <c r="A437" s="29" t="s">
        <v>183</v>
      </c>
      <c r="B437" s="25" t="str">
        <f t="shared" si="53"/>
        <v>Mobile County</v>
      </c>
      <c r="C437" s="25" t="s">
        <v>971</v>
      </c>
      <c r="D437" s="25" t="s">
        <v>972</v>
      </c>
      <c r="E437" s="25" t="str">
        <f t="shared" si="52"/>
        <v>Schoolwide</v>
      </c>
    </row>
    <row r="438" spans="1:5" x14ac:dyDescent="0.35">
      <c r="A438" s="29" t="s">
        <v>183</v>
      </c>
      <c r="B438" s="25" t="str">
        <f t="shared" si="53"/>
        <v>Mobile County</v>
      </c>
      <c r="C438" s="25" t="s">
        <v>973</v>
      </c>
      <c r="D438" s="25" t="s">
        <v>974</v>
      </c>
      <c r="E438" s="25" t="str">
        <f t="shared" si="52"/>
        <v>Schoolwide</v>
      </c>
    </row>
    <row r="439" spans="1:5" x14ac:dyDescent="0.35">
      <c r="A439" s="29" t="s">
        <v>183</v>
      </c>
      <c r="B439" s="25" t="str">
        <f t="shared" si="53"/>
        <v>Mobile County</v>
      </c>
      <c r="C439" s="25" t="s">
        <v>975</v>
      </c>
      <c r="D439" s="25" t="s">
        <v>976</v>
      </c>
      <c r="E439" s="25" t="str">
        <f t="shared" si="52"/>
        <v>Schoolwide</v>
      </c>
    </row>
    <row r="440" spans="1:5" x14ac:dyDescent="0.35">
      <c r="A440" s="29" t="s">
        <v>183</v>
      </c>
      <c r="B440" s="25" t="str">
        <f t="shared" si="53"/>
        <v>Mobile County</v>
      </c>
      <c r="C440" s="25" t="s">
        <v>977</v>
      </c>
      <c r="D440" s="25" t="s">
        <v>978</v>
      </c>
      <c r="E440" s="25" t="str">
        <f t="shared" si="52"/>
        <v>Schoolwide</v>
      </c>
    </row>
    <row r="441" spans="1:5" x14ac:dyDescent="0.35">
      <c r="A441" s="29" t="s">
        <v>183</v>
      </c>
      <c r="B441" s="25" t="str">
        <f t="shared" si="53"/>
        <v>Mobile County</v>
      </c>
      <c r="C441" s="25" t="s">
        <v>979</v>
      </c>
      <c r="D441" s="25" t="s">
        <v>980</v>
      </c>
      <c r="E441" s="25" t="str">
        <f t="shared" si="52"/>
        <v>Schoolwide</v>
      </c>
    </row>
    <row r="442" spans="1:5" x14ac:dyDescent="0.35">
      <c r="A442" s="29" t="s">
        <v>183</v>
      </c>
      <c r="B442" s="25" t="str">
        <f t="shared" si="53"/>
        <v>Mobile County</v>
      </c>
      <c r="C442" s="25" t="s">
        <v>981</v>
      </c>
      <c r="D442" s="25" t="s">
        <v>982</v>
      </c>
      <c r="E442" s="25" t="str">
        <f t="shared" si="52"/>
        <v>Schoolwide</v>
      </c>
    </row>
    <row r="443" spans="1:5" x14ac:dyDescent="0.35">
      <c r="A443" s="29" t="s">
        <v>183</v>
      </c>
      <c r="B443" s="25" t="str">
        <f t="shared" si="53"/>
        <v>Mobile County</v>
      </c>
      <c r="C443" s="25" t="s">
        <v>983</v>
      </c>
      <c r="D443" s="25" t="s">
        <v>984</v>
      </c>
      <c r="E443" s="25" t="str">
        <f t="shared" si="52"/>
        <v>Schoolwide</v>
      </c>
    </row>
    <row r="444" spans="1:5" x14ac:dyDescent="0.35">
      <c r="A444" s="29" t="s">
        <v>183</v>
      </c>
      <c r="B444" s="25" t="str">
        <f t="shared" si="53"/>
        <v>Mobile County</v>
      </c>
      <c r="C444" s="25" t="s">
        <v>985</v>
      </c>
      <c r="D444" s="25" t="s">
        <v>986</v>
      </c>
      <c r="E444" s="25" t="str">
        <f t="shared" si="52"/>
        <v>Schoolwide</v>
      </c>
    </row>
    <row r="445" spans="1:5" x14ac:dyDescent="0.35">
      <c r="A445" s="29" t="s">
        <v>183</v>
      </c>
      <c r="B445" s="25" t="str">
        <f t="shared" si="53"/>
        <v>Mobile County</v>
      </c>
      <c r="C445" s="25" t="s">
        <v>987</v>
      </c>
      <c r="D445" s="25" t="s">
        <v>988</v>
      </c>
      <c r="E445" s="25" t="str">
        <f t="shared" si="52"/>
        <v>Schoolwide</v>
      </c>
    </row>
    <row r="446" spans="1:5" x14ac:dyDescent="0.35">
      <c r="A446" s="29" t="s">
        <v>183</v>
      </c>
      <c r="B446" s="25" t="str">
        <f t="shared" si="53"/>
        <v>Mobile County</v>
      </c>
      <c r="C446" s="25" t="s">
        <v>989</v>
      </c>
      <c r="D446" s="25" t="s">
        <v>990</v>
      </c>
      <c r="E446" s="25" t="str">
        <f t="shared" si="52"/>
        <v>Schoolwide</v>
      </c>
    </row>
    <row r="447" spans="1:5" x14ac:dyDescent="0.35">
      <c r="A447" s="29" t="s">
        <v>183</v>
      </c>
      <c r="B447" s="25" t="str">
        <f t="shared" si="53"/>
        <v>Mobile County</v>
      </c>
      <c r="C447" s="25" t="s">
        <v>991</v>
      </c>
      <c r="D447" s="25" t="s">
        <v>992</v>
      </c>
      <c r="E447" s="25" t="str">
        <f t="shared" si="52"/>
        <v>Schoolwide</v>
      </c>
    </row>
    <row r="448" spans="1:5" x14ac:dyDescent="0.35">
      <c r="A448" s="29" t="s">
        <v>183</v>
      </c>
      <c r="B448" s="25" t="str">
        <f t="shared" si="53"/>
        <v>Mobile County</v>
      </c>
      <c r="C448" s="25" t="s">
        <v>993</v>
      </c>
      <c r="D448" s="25" t="s">
        <v>994</v>
      </c>
      <c r="E448" s="25" t="str">
        <f t="shared" si="52"/>
        <v>Schoolwide</v>
      </c>
    </row>
    <row r="449" spans="1:5" x14ac:dyDescent="0.35">
      <c r="A449" s="29" t="s">
        <v>183</v>
      </c>
      <c r="B449" s="25" t="str">
        <f t="shared" si="53"/>
        <v>Mobile County</v>
      </c>
      <c r="C449" s="25" t="s">
        <v>995</v>
      </c>
      <c r="D449" s="25" t="s">
        <v>996</v>
      </c>
      <c r="E449" s="25" t="str">
        <f t="shared" si="52"/>
        <v>Schoolwide</v>
      </c>
    </row>
    <row r="450" spans="1:5" x14ac:dyDescent="0.35">
      <c r="A450" s="29" t="s">
        <v>183</v>
      </c>
      <c r="B450" s="25" t="str">
        <f t="shared" si="53"/>
        <v>Mobile County</v>
      </c>
      <c r="C450" s="25" t="s">
        <v>997</v>
      </c>
      <c r="D450" s="25" t="s">
        <v>998</v>
      </c>
      <c r="E450" s="25" t="str">
        <f t="shared" si="52"/>
        <v>Schoolwide</v>
      </c>
    </row>
    <row r="451" spans="1:5" x14ac:dyDescent="0.35">
      <c r="A451" s="29" t="s">
        <v>183</v>
      </c>
      <c r="B451" s="25" t="str">
        <f t="shared" si="53"/>
        <v>Mobile County</v>
      </c>
      <c r="C451" s="25" t="s">
        <v>999</v>
      </c>
      <c r="D451" s="25" t="s">
        <v>1000</v>
      </c>
      <c r="E451" s="25" t="str">
        <f t="shared" si="52"/>
        <v>Schoolwide</v>
      </c>
    </row>
    <row r="452" spans="1:5" x14ac:dyDescent="0.35">
      <c r="A452" s="29" t="s">
        <v>183</v>
      </c>
      <c r="B452" s="25" t="str">
        <f t="shared" si="53"/>
        <v>Mobile County</v>
      </c>
      <c r="C452" s="25" t="s">
        <v>1001</v>
      </c>
      <c r="D452" s="25" t="s">
        <v>1002</v>
      </c>
      <c r="E452" s="25" t="str">
        <f t="shared" si="52"/>
        <v>Schoolwide</v>
      </c>
    </row>
    <row r="453" spans="1:5" x14ac:dyDescent="0.35">
      <c r="A453" s="29" t="s">
        <v>183</v>
      </c>
      <c r="B453" s="25" t="str">
        <f t="shared" si="53"/>
        <v>Mobile County</v>
      </c>
      <c r="C453" s="25" t="s">
        <v>1003</v>
      </c>
      <c r="D453" s="25" t="s">
        <v>1004</v>
      </c>
      <c r="E453" s="25" t="str">
        <f t="shared" si="52"/>
        <v>Schoolwide</v>
      </c>
    </row>
    <row r="454" spans="1:5" x14ac:dyDescent="0.35">
      <c r="A454" s="29" t="s">
        <v>183</v>
      </c>
      <c r="B454" s="25" t="str">
        <f t="shared" si="53"/>
        <v>Mobile County</v>
      </c>
      <c r="C454" s="25" t="s">
        <v>1005</v>
      </c>
      <c r="D454" s="25" t="s">
        <v>1006</v>
      </c>
      <c r="E454" s="25" t="str">
        <f t="shared" si="52"/>
        <v>Schoolwide</v>
      </c>
    </row>
    <row r="455" spans="1:5" x14ac:dyDescent="0.35">
      <c r="A455" s="29" t="s">
        <v>183</v>
      </c>
      <c r="B455" s="25" t="str">
        <f t="shared" si="53"/>
        <v>Mobile County</v>
      </c>
      <c r="C455" s="25" t="s">
        <v>1007</v>
      </c>
      <c r="D455" s="25" t="s">
        <v>1008</v>
      </c>
      <c r="E455" s="25" t="str">
        <f t="shared" si="52"/>
        <v>Schoolwide</v>
      </c>
    </row>
    <row r="456" spans="1:5" x14ac:dyDescent="0.35">
      <c r="A456" s="29" t="s">
        <v>183</v>
      </c>
      <c r="B456" s="25" t="str">
        <f t="shared" si="53"/>
        <v>Mobile County</v>
      </c>
      <c r="C456" s="25" t="s">
        <v>1009</v>
      </c>
      <c r="D456" s="25" t="s">
        <v>1010</v>
      </c>
      <c r="E456" s="25" t="str">
        <f t="shared" si="52"/>
        <v>Schoolwide</v>
      </c>
    </row>
    <row r="457" spans="1:5" x14ac:dyDescent="0.35">
      <c r="A457" s="29" t="s">
        <v>183</v>
      </c>
      <c r="B457" s="25" t="str">
        <f t="shared" si="53"/>
        <v>Mobile County</v>
      </c>
      <c r="C457" s="25" t="s">
        <v>1011</v>
      </c>
      <c r="D457" s="25" t="s">
        <v>1012</v>
      </c>
      <c r="E457" s="25" t="str">
        <f t="shared" si="52"/>
        <v>Schoolwide</v>
      </c>
    </row>
    <row r="458" spans="1:5" x14ac:dyDescent="0.35">
      <c r="A458" s="29" t="s">
        <v>183</v>
      </c>
      <c r="B458" s="25" t="str">
        <f t="shared" si="53"/>
        <v>Mobile County</v>
      </c>
      <c r="C458" s="25" t="s">
        <v>1013</v>
      </c>
      <c r="D458" s="25" t="s">
        <v>1014</v>
      </c>
      <c r="E458" s="25" t="str">
        <f t="shared" si="52"/>
        <v>Schoolwide</v>
      </c>
    </row>
    <row r="459" spans="1:5" x14ac:dyDescent="0.35">
      <c r="A459" s="29" t="s">
        <v>183</v>
      </c>
      <c r="B459" s="25" t="str">
        <f t="shared" si="53"/>
        <v>Mobile County</v>
      </c>
      <c r="C459" s="25" t="s">
        <v>1015</v>
      </c>
      <c r="D459" s="25" t="s">
        <v>1016</v>
      </c>
      <c r="E459" s="25" t="str">
        <f t="shared" si="52"/>
        <v>Schoolwide</v>
      </c>
    </row>
    <row r="460" spans="1:5" x14ac:dyDescent="0.35">
      <c r="A460" s="29" t="s">
        <v>183</v>
      </c>
      <c r="B460" s="25" t="str">
        <f t="shared" si="53"/>
        <v>Mobile County</v>
      </c>
      <c r="C460" s="25" t="s">
        <v>1017</v>
      </c>
      <c r="D460" s="25" t="s">
        <v>1018</v>
      </c>
      <c r="E460" s="25" t="str">
        <f t="shared" si="52"/>
        <v>Schoolwide</v>
      </c>
    </row>
    <row r="461" spans="1:5" x14ac:dyDescent="0.35">
      <c r="A461" s="29" t="s">
        <v>183</v>
      </c>
      <c r="B461" s="25" t="str">
        <f t="shared" si="53"/>
        <v>Mobile County</v>
      </c>
      <c r="C461" s="25" t="s">
        <v>1019</v>
      </c>
      <c r="D461" s="25" t="s">
        <v>1020</v>
      </c>
      <c r="E461" s="25" t="str">
        <f t="shared" si="52"/>
        <v>Schoolwide</v>
      </c>
    </row>
    <row r="462" spans="1:5" x14ac:dyDescent="0.35">
      <c r="A462" s="29" t="s">
        <v>183</v>
      </c>
      <c r="B462" s="25" t="str">
        <f t="shared" si="53"/>
        <v>Mobile County</v>
      </c>
      <c r="C462" s="25" t="s">
        <v>1021</v>
      </c>
      <c r="D462" s="25" t="s">
        <v>1022</v>
      </c>
      <c r="E462" s="25" t="str">
        <f t="shared" ref="E462:E516" si="54">"Schoolwide"</f>
        <v>Schoolwide</v>
      </c>
    </row>
    <row r="463" spans="1:5" x14ac:dyDescent="0.35">
      <c r="A463" s="29" t="s">
        <v>183</v>
      </c>
      <c r="B463" s="25" t="str">
        <f t="shared" si="53"/>
        <v>Mobile County</v>
      </c>
      <c r="C463" s="25" t="s">
        <v>1023</v>
      </c>
      <c r="D463" s="25" t="s">
        <v>1024</v>
      </c>
      <c r="E463" s="25" t="str">
        <f t="shared" si="54"/>
        <v>Schoolwide</v>
      </c>
    </row>
    <row r="464" spans="1:5" x14ac:dyDescent="0.35">
      <c r="A464" s="29" t="s">
        <v>183</v>
      </c>
      <c r="B464" s="25" t="str">
        <f t="shared" si="53"/>
        <v>Mobile County</v>
      </c>
      <c r="C464" s="25" t="s">
        <v>1025</v>
      </c>
      <c r="D464" s="25" t="s">
        <v>1026</v>
      </c>
      <c r="E464" s="25" t="str">
        <f t="shared" si="54"/>
        <v>Schoolwide</v>
      </c>
    </row>
    <row r="465" spans="1:5" x14ac:dyDescent="0.35">
      <c r="A465" s="29" t="s">
        <v>183</v>
      </c>
      <c r="B465" s="25" t="str">
        <f t="shared" si="53"/>
        <v>Mobile County</v>
      </c>
      <c r="C465" s="25" t="s">
        <v>1027</v>
      </c>
      <c r="D465" s="25" t="s">
        <v>1028</v>
      </c>
      <c r="E465" s="25" t="str">
        <f t="shared" si="54"/>
        <v>Schoolwide</v>
      </c>
    </row>
    <row r="466" spans="1:5" x14ac:dyDescent="0.35">
      <c r="A466" s="29" t="s">
        <v>183</v>
      </c>
      <c r="B466" s="25" t="str">
        <f t="shared" si="53"/>
        <v>Mobile County</v>
      </c>
      <c r="C466" s="25" t="s">
        <v>1029</v>
      </c>
      <c r="D466" s="25" t="s">
        <v>1030</v>
      </c>
      <c r="E466" s="25" t="str">
        <f t="shared" si="54"/>
        <v>Schoolwide</v>
      </c>
    </row>
    <row r="467" spans="1:5" x14ac:dyDescent="0.35">
      <c r="A467" s="29" t="s">
        <v>183</v>
      </c>
      <c r="B467" s="25" t="str">
        <f t="shared" si="53"/>
        <v>Mobile County</v>
      </c>
      <c r="C467" s="25" t="s">
        <v>1031</v>
      </c>
      <c r="D467" s="25" t="s">
        <v>1032</v>
      </c>
      <c r="E467" s="25" t="str">
        <f t="shared" si="54"/>
        <v>Schoolwide</v>
      </c>
    </row>
    <row r="468" spans="1:5" x14ac:dyDescent="0.35">
      <c r="A468" s="29" t="s">
        <v>183</v>
      </c>
      <c r="B468" s="25" t="str">
        <f t="shared" si="53"/>
        <v>Mobile County</v>
      </c>
      <c r="C468" s="25" t="s">
        <v>1033</v>
      </c>
      <c r="D468" s="25" t="s">
        <v>1034</v>
      </c>
      <c r="E468" s="25" t="str">
        <f t="shared" si="54"/>
        <v>Schoolwide</v>
      </c>
    </row>
    <row r="469" spans="1:5" x14ac:dyDescent="0.35">
      <c r="A469" s="29" t="s">
        <v>183</v>
      </c>
      <c r="B469" s="25" t="str">
        <f t="shared" ref="B469:B470" si="55">"Mobile County"</f>
        <v>Mobile County</v>
      </c>
      <c r="C469" s="25" t="s">
        <v>1035</v>
      </c>
      <c r="D469" s="25" t="s">
        <v>1036</v>
      </c>
      <c r="E469" s="25" t="str">
        <f t="shared" si="54"/>
        <v>Schoolwide</v>
      </c>
    </row>
    <row r="470" spans="1:5" x14ac:dyDescent="0.35">
      <c r="A470" s="29" t="s">
        <v>183</v>
      </c>
      <c r="B470" s="25" t="str">
        <f t="shared" si="55"/>
        <v>Mobile County</v>
      </c>
      <c r="C470" s="25" t="s">
        <v>1037</v>
      </c>
      <c r="D470" s="25" t="s">
        <v>1038</v>
      </c>
      <c r="E470" s="25" t="str">
        <f t="shared" si="54"/>
        <v>Schoolwide</v>
      </c>
    </row>
    <row r="471" spans="1:5" x14ac:dyDescent="0.35">
      <c r="A471" s="29" t="s">
        <v>145</v>
      </c>
      <c r="B471" s="25" t="str">
        <f t="shared" ref="B471:B477" si="56">"Monroe County"</f>
        <v>Monroe County</v>
      </c>
      <c r="C471" s="25" t="s">
        <v>1039</v>
      </c>
      <c r="D471" s="25" t="s">
        <v>1040</v>
      </c>
      <c r="E471" s="25" t="str">
        <f t="shared" si="54"/>
        <v>Schoolwide</v>
      </c>
    </row>
    <row r="472" spans="1:5" x14ac:dyDescent="0.35">
      <c r="A472" s="29" t="s">
        <v>145</v>
      </c>
      <c r="B472" s="25" t="str">
        <f t="shared" si="56"/>
        <v>Monroe County</v>
      </c>
      <c r="C472" s="25" t="s">
        <v>1041</v>
      </c>
      <c r="D472" s="25" t="s">
        <v>1042</v>
      </c>
      <c r="E472" s="25" t="str">
        <f t="shared" si="54"/>
        <v>Schoolwide</v>
      </c>
    </row>
    <row r="473" spans="1:5" x14ac:dyDescent="0.35">
      <c r="A473" s="29" t="s">
        <v>145</v>
      </c>
      <c r="B473" s="25" t="str">
        <f t="shared" si="56"/>
        <v>Monroe County</v>
      </c>
      <c r="C473" s="25" t="s">
        <v>1043</v>
      </c>
      <c r="D473" s="25" t="s">
        <v>1044</v>
      </c>
      <c r="E473" s="25" t="str">
        <f t="shared" si="54"/>
        <v>Schoolwide</v>
      </c>
    </row>
    <row r="474" spans="1:5" x14ac:dyDescent="0.35">
      <c r="A474" s="29" t="s">
        <v>145</v>
      </c>
      <c r="B474" s="25" t="str">
        <f t="shared" si="56"/>
        <v>Monroe County</v>
      </c>
      <c r="C474" s="25" t="s">
        <v>1045</v>
      </c>
      <c r="D474" s="25" t="s">
        <v>1046</v>
      </c>
      <c r="E474" s="25" t="str">
        <f t="shared" si="54"/>
        <v>Schoolwide</v>
      </c>
    </row>
    <row r="475" spans="1:5" x14ac:dyDescent="0.35">
      <c r="A475" s="29" t="s">
        <v>145</v>
      </c>
      <c r="B475" s="25" t="str">
        <f t="shared" si="56"/>
        <v>Monroe County</v>
      </c>
      <c r="C475" s="25" t="s">
        <v>1047</v>
      </c>
      <c r="D475" s="25" t="s">
        <v>1048</v>
      </c>
      <c r="E475" s="25" t="str">
        <f t="shared" si="54"/>
        <v>Schoolwide</v>
      </c>
    </row>
    <row r="476" spans="1:5" x14ac:dyDescent="0.35">
      <c r="A476" s="29" t="s">
        <v>145</v>
      </c>
      <c r="B476" s="25" t="str">
        <f t="shared" si="56"/>
        <v>Monroe County</v>
      </c>
      <c r="C476" s="25" t="s">
        <v>1049</v>
      </c>
      <c r="D476" s="25" t="s">
        <v>1050</v>
      </c>
      <c r="E476" s="25" t="str">
        <f t="shared" si="54"/>
        <v>Schoolwide</v>
      </c>
    </row>
    <row r="477" spans="1:5" x14ac:dyDescent="0.35">
      <c r="A477" s="29" t="s">
        <v>145</v>
      </c>
      <c r="B477" s="25" t="str">
        <f t="shared" si="56"/>
        <v>Monroe County</v>
      </c>
      <c r="C477" s="25" t="s">
        <v>1051</v>
      </c>
      <c r="D477" s="25" t="s">
        <v>1052</v>
      </c>
      <c r="E477" s="25" t="str">
        <f t="shared" si="54"/>
        <v>Schoolwide</v>
      </c>
    </row>
    <row r="478" spans="1:5" x14ac:dyDescent="0.35">
      <c r="A478" s="29" t="s">
        <v>151</v>
      </c>
      <c r="B478" s="25" t="str">
        <f t="shared" ref="B478:B517" si="57">"Montgomery County"</f>
        <v>Montgomery County</v>
      </c>
      <c r="C478" s="25" t="s">
        <v>1053</v>
      </c>
      <c r="D478" s="25" t="s">
        <v>1054</v>
      </c>
      <c r="E478" s="25" t="str">
        <f t="shared" si="54"/>
        <v>Schoolwide</v>
      </c>
    </row>
    <row r="479" spans="1:5" x14ac:dyDescent="0.35">
      <c r="A479" s="29" t="s">
        <v>151</v>
      </c>
      <c r="B479" s="25" t="str">
        <f t="shared" si="57"/>
        <v>Montgomery County</v>
      </c>
      <c r="C479" s="25" t="s">
        <v>1055</v>
      </c>
      <c r="D479" s="25" t="s">
        <v>1056</v>
      </c>
      <c r="E479" s="25" t="str">
        <f t="shared" si="54"/>
        <v>Schoolwide</v>
      </c>
    </row>
    <row r="480" spans="1:5" x14ac:dyDescent="0.35">
      <c r="A480" s="29" t="s">
        <v>151</v>
      </c>
      <c r="B480" s="25" t="str">
        <f t="shared" si="57"/>
        <v>Montgomery County</v>
      </c>
      <c r="C480" s="25" t="s">
        <v>1057</v>
      </c>
      <c r="D480" s="25" t="s">
        <v>1058</v>
      </c>
      <c r="E480" s="25" t="str">
        <f t="shared" si="54"/>
        <v>Schoolwide</v>
      </c>
    </row>
    <row r="481" spans="1:5" x14ac:dyDescent="0.35">
      <c r="A481" s="29" t="s">
        <v>151</v>
      </c>
      <c r="B481" s="25" t="str">
        <f t="shared" si="57"/>
        <v>Montgomery County</v>
      </c>
      <c r="C481" s="25" t="s">
        <v>1059</v>
      </c>
      <c r="D481" s="25" t="s">
        <v>1060</v>
      </c>
      <c r="E481" s="25" t="str">
        <f t="shared" si="54"/>
        <v>Schoolwide</v>
      </c>
    </row>
    <row r="482" spans="1:5" x14ac:dyDescent="0.35">
      <c r="A482" s="29" t="s">
        <v>151</v>
      </c>
      <c r="B482" s="25" t="str">
        <f t="shared" si="57"/>
        <v>Montgomery County</v>
      </c>
      <c r="C482" s="25" t="s">
        <v>1061</v>
      </c>
      <c r="D482" s="25" t="s">
        <v>1062</v>
      </c>
      <c r="E482" s="25" t="str">
        <f t="shared" si="54"/>
        <v>Schoolwide</v>
      </c>
    </row>
    <row r="483" spans="1:5" x14ac:dyDescent="0.35">
      <c r="A483" s="29" t="s">
        <v>151</v>
      </c>
      <c r="B483" s="25" t="str">
        <f t="shared" si="57"/>
        <v>Montgomery County</v>
      </c>
      <c r="C483" s="25" t="s">
        <v>1063</v>
      </c>
      <c r="D483" s="25" t="s">
        <v>1064</v>
      </c>
      <c r="E483" s="25" t="str">
        <f t="shared" si="54"/>
        <v>Schoolwide</v>
      </c>
    </row>
    <row r="484" spans="1:5" x14ac:dyDescent="0.35">
      <c r="A484" s="29" t="s">
        <v>151</v>
      </c>
      <c r="B484" s="25" t="str">
        <f t="shared" si="57"/>
        <v>Montgomery County</v>
      </c>
      <c r="C484" s="25" t="s">
        <v>1065</v>
      </c>
      <c r="D484" s="25" t="s">
        <v>1066</v>
      </c>
      <c r="E484" s="25" t="str">
        <f t="shared" si="54"/>
        <v>Schoolwide</v>
      </c>
    </row>
    <row r="485" spans="1:5" x14ac:dyDescent="0.35">
      <c r="A485" s="29" t="s">
        <v>151</v>
      </c>
      <c r="B485" s="25" t="str">
        <f t="shared" si="57"/>
        <v>Montgomery County</v>
      </c>
      <c r="C485" s="25" t="s">
        <v>1067</v>
      </c>
      <c r="D485" s="25" t="s">
        <v>1068</v>
      </c>
      <c r="E485" s="25" t="str">
        <f t="shared" si="54"/>
        <v>Schoolwide</v>
      </c>
    </row>
    <row r="486" spans="1:5" x14ac:dyDescent="0.35">
      <c r="A486" s="29" t="s">
        <v>151</v>
      </c>
      <c r="B486" s="25" t="str">
        <f t="shared" si="57"/>
        <v>Montgomery County</v>
      </c>
      <c r="C486" s="25" t="s">
        <v>1069</v>
      </c>
      <c r="D486" s="25" t="s">
        <v>1070</v>
      </c>
      <c r="E486" s="25" t="str">
        <f t="shared" si="54"/>
        <v>Schoolwide</v>
      </c>
    </row>
    <row r="487" spans="1:5" x14ac:dyDescent="0.35">
      <c r="A487" s="29" t="s">
        <v>151</v>
      </c>
      <c r="B487" s="25" t="str">
        <f t="shared" si="57"/>
        <v>Montgomery County</v>
      </c>
      <c r="C487" s="25" t="s">
        <v>1071</v>
      </c>
      <c r="D487" s="25" t="s">
        <v>1072</v>
      </c>
      <c r="E487" s="25" t="str">
        <f t="shared" si="54"/>
        <v>Schoolwide</v>
      </c>
    </row>
    <row r="488" spans="1:5" x14ac:dyDescent="0.35">
      <c r="A488" s="29" t="s">
        <v>151</v>
      </c>
      <c r="B488" s="25" t="str">
        <f t="shared" si="57"/>
        <v>Montgomery County</v>
      </c>
      <c r="C488" s="25" t="s">
        <v>1073</v>
      </c>
      <c r="D488" s="25" t="s">
        <v>1074</v>
      </c>
      <c r="E488" s="25" t="str">
        <f t="shared" si="54"/>
        <v>Schoolwide</v>
      </c>
    </row>
    <row r="489" spans="1:5" x14ac:dyDescent="0.35">
      <c r="A489" s="29" t="s">
        <v>151</v>
      </c>
      <c r="B489" s="25" t="str">
        <f t="shared" si="57"/>
        <v>Montgomery County</v>
      </c>
      <c r="C489" s="25" t="s">
        <v>1075</v>
      </c>
      <c r="D489" s="25" t="s">
        <v>1076</v>
      </c>
      <c r="E489" s="25" t="str">
        <f t="shared" si="54"/>
        <v>Schoolwide</v>
      </c>
    </row>
    <row r="490" spans="1:5" x14ac:dyDescent="0.35">
      <c r="A490" s="29" t="s">
        <v>151</v>
      </c>
      <c r="B490" s="25" t="str">
        <f t="shared" si="57"/>
        <v>Montgomery County</v>
      </c>
      <c r="C490" s="25" t="s">
        <v>1077</v>
      </c>
      <c r="D490" s="25" t="s">
        <v>1078</v>
      </c>
      <c r="E490" s="25" t="str">
        <f t="shared" si="54"/>
        <v>Schoolwide</v>
      </c>
    </row>
    <row r="491" spans="1:5" x14ac:dyDescent="0.35">
      <c r="A491" s="29" t="s">
        <v>151</v>
      </c>
      <c r="B491" s="25" t="str">
        <f t="shared" si="57"/>
        <v>Montgomery County</v>
      </c>
      <c r="C491" s="25" t="s">
        <v>1079</v>
      </c>
      <c r="D491" s="25" t="s">
        <v>1080</v>
      </c>
      <c r="E491" s="25" t="str">
        <f t="shared" si="54"/>
        <v>Schoolwide</v>
      </c>
    </row>
    <row r="492" spans="1:5" x14ac:dyDescent="0.35">
      <c r="A492" s="29" t="s">
        <v>151</v>
      </c>
      <c r="B492" s="25" t="str">
        <f t="shared" si="57"/>
        <v>Montgomery County</v>
      </c>
      <c r="C492" s="25" t="s">
        <v>1081</v>
      </c>
      <c r="D492" s="25" t="s">
        <v>1082</v>
      </c>
      <c r="E492" s="25" t="str">
        <f t="shared" si="54"/>
        <v>Schoolwide</v>
      </c>
    </row>
    <row r="493" spans="1:5" x14ac:dyDescent="0.35">
      <c r="A493" s="29" t="s">
        <v>151</v>
      </c>
      <c r="B493" s="25" t="str">
        <f t="shared" si="57"/>
        <v>Montgomery County</v>
      </c>
      <c r="C493" s="25" t="s">
        <v>1083</v>
      </c>
      <c r="D493" s="25" t="s">
        <v>1084</v>
      </c>
      <c r="E493" s="25" t="str">
        <f t="shared" si="54"/>
        <v>Schoolwide</v>
      </c>
    </row>
    <row r="494" spans="1:5" x14ac:dyDescent="0.35">
      <c r="A494" s="29" t="s">
        <v>151</v>
      </c>
      <c r="B494" s="25" t="str">
        <f t="shared" si="57"/>
        <v>Montgomery County</v>
      </c>
      <c r="C494" s="25" t="s">
        <v>1085</v>
      </c>
      <c r="D494" s="25" t="s">
        <v>1086</v>
      </c>
      <c r="E494" s="25" t="str">
        <f t="shared" si="54"/>
        <v>Schoolwide</v>
      </c>
    </row>
    <row r="495" spans="1:5" x14ac:dyDescent="0.35">
      <c r="A495" s="29" t="s">
        <v>151</v>
      </c>
      <c r="B495" s="25" t="str">
        <f t="shared" si="57"/>
        <v>Montgomery County</v>
      </c>
      <c r="C495" s="25" t="s">
        <v>1087</v>
      </c>
      <c r="D495" s="25" t="s">
        <v>1088</v>
      </c>
      <c r="E495" s="25" t="str">
        <f t="shared" si="54"/>
        <v>Schoolwide</v>
      </c>
    </row>
    <row r="496" spans="1:5" x14ac:dyDescent="0.35">
      <c r="A496" s="29" t="s">
        <v>151</v>
      </c>
      <c r="B496" s="25" t="str">
        <f t="shared" si="57"/>
        <v>Montgomery County</v>
      </c>
      <c r="C496" s="25" t="s">
        <v>1089</v>
      </c>
      <c r="D496" s="25" t="s">
        <v>1090</v>
      </c>
      <c r="E496" s="25" t="str">
        <f t="shared" si="54"/>
        <v>Schoolwide</v>
      </c>
    </row>
    <row r="497" spans="1:5" x14ac:dyDescent="0.35">
      <c r="A497" s="29" t="s">
        <v>151</v>
      </c>
      <c r="B497" s="25" t="str">
        <f t="shared" si="57"/>
        <v>Montgomery County</v>
      </c>
      <c r="C497" s="25" t="s">
        <v>1091</v>
      </c>
      <c r="D497" s="25" t="s">
        <v>1092</v>
      </c>
      <c r="E497" s="25" t="str">
        <f t="shared" si="54"/>
        <v>Schoolwide</v>
      </c>
    </row>
    <row r="498" spans="1:5" x14ac:dyDescent="0.35">
      <c r="A498" s="29" t="s">
        <v>151</v>
      </c>
      <c r="B498" s="25" t="str">
        <f t="shared" si="57"/>
        <v>Montgomery County</v>
      </c>
      <c r="C498" s="25" t="s">
        <v>1093</v>
      </c>
      <c r="D498" s="25" t="s">
        <v>1094</v>
      </c>
      <c r="E498" s="25" t="str">
        <f t="shared" si="54"/>
        <v>Schoolwide</v>
      </c>
    </row>
    <row r="499" spans="1:5" x14ac:dyDescent="0.35">
      <c r="A499" s="29" t="s">
        <v>151</v>
      </c>
      <c r="B499" s="25" t="str">
        <f t="shared" si="57"/>
        <v>Montgomery County</v>
      </c>
      <c r="C499" s="25" t="s">
        <v>1095</v>
      </c>
      <c r="D499" s="25" t="s">
        <v>1096</v>
      </c>
      <c r="E499" s="25" t="str">
        <f t="shared" si="54"/>
        <v>Schoolwide</v>
      </c>
    </row>
    <row r="500" spans="1:5" x14ac:dyDescent="0.35">
      <c r="A500" s="29" t="s">
        <v>151</v>
      </c>
      <c r="B500" s="25" t="str">
        <f t="shared" si="57"/>
        <v>Montgomery County</v>
      </c>
      <c r="C500" s="25" t="s">
        <v>1097</v>
      </c>
      <c r="D500" s="25" t="s">
        <v>1098</v>
      </c>
      <c r="E500" s="25" t="str">
        <f t="shared" si="54"/>
        <v>Schoolwide</v>
      </c>
    </row>
    <row r="501" spans="1:5" x14ac:dyDescent="0.35">
      <c r="A501" s="29" t="s">
        <v>151</v>
      </c>
      <c r="B501" s="25" t="str">
        <f t="shared" si="57"/>
        <v>Montgomery County</v>
      </c>
      <c r="C501" s="25" t="s">
        <v>1099</v>
      </c>
      <c r="D501" s="25" t="s">
        <v>803</v>
      </c>
      <c r="E501" s="25" t="str">
        <f t="shared" si="54"/>
        <v>Schoolwide</v>
      </c>
    </row>
    <row r="502" spans="1:5" x14ac:dyDescent="0.35">
      <c r="A502" s="29" t="s">
        <v>151</v>
      </c>
      <c r="B502" s="25" t="str">
        <f t="shared" si="57"/>
        <v>Montgomery County</v>
      </c>
      <c r="C502" s="25" t="s">
        <v>1100</v>
      </c>
      <c r="D502" s="25" t="s">
        <v>1101</v>
      </c>
      <c r="E502" s="25" t="str">
        <f t="shared" si="54"/>
        <v>Schoolwide</v>
      </c>
    </row>
    <row r="503" spans="1:5" x14ac:dyDescent="0.35">
      <c r="A503" s="29" t="s">
        <v>151</v>
      </c>
      <c r="B503" s="25" t="str">
        <f t="shared" si="57"/>
        <v>Montgomery County</v>
      </c>
      <c r="C503" s="25" t="s">
        <v>1102</v>
      </c>
      <c r="D503" s="25" t="s">
        <v>1103</v>
      </c>
      <c r="E503" s="25" t="str">
        <f t="shared" si="54"/>
        <v>Schoolwide</v>
      </c>
    </row>
    <row r="504" spans="1:5" x14ac:dyDescent="0.35">
      <c r="A504" s="29" t="s">
        <v>151</v>
      </c>
      <c r="B504" s="25" t="str">
        <f t="shared" si="57"/>
        <v>Montgomery County</v>
      </c>
      <c r="C504" s="25" t="s">
        <v>1104</v>
      </c>
      <c r="D504" s="25" t="s">
        <v>1105</v>
      </c>
      <c r="E504" s="25" t="str">
        <f t="shared" si="54"/>
        <v>Schoolwide</v>
      </c>
    </row>
    <row r="505" spans="1:5" x14ac:dyDescent="0.35">
      <c r="A505" s="29" t="s">
        <v>151</v>
      </c>
      <c r="B505" s="25" t="str">
        <f t="shared" si="57"/>
        <v>Montgomery County</v>
      </c>
      <c r="C505" s="25" t="s">
        <v>1106</v>
      </c>
      <c r="D505" s="25" t="s">
        <v>1107</v>
      </c>
      <c r="E505" s="25" t="str">
        <f t="shared" si="54"/>
        <v>Schoolwide</v>
      </c>
    </row>
    <row r="506" spans="1:5" x14ac:dyDescent="0.35">
      <c r="A506" s="29" t="s">
        <v>151</v>
      </c>
      <c r="B506" s="25" t="str">
        <f t="shared" si="57"/>
        <v>Montgomery County</v>
      </c>
      <c r="C506" s="25" t="s">
        <v>1108</v>
      </c>
      <c r="D506" s="25" t="s">
        <v>1109</v>
      </c>
      <c r="E506" s="25" t="str">
        <f t="shared" si="54"/>
        <v>Schoolwide</v>
      </c>
    </row>
    <row r="507" spans="1:5" x14ac:dyDescent="0.35">
      <c r="A507" s="29" t="s">
        <v>151</v>
      </c>
      <c r="B507" s="25" t="str">
        <f t="shared" si="57"/>
        <v>Montgomery County</v>
      </c>
      <c r="C507" s="25" t="s">
        <v>1110</v>
      </c>
      <c r="D507" s="25" t="s">
        <v>1111</v>
      </c>
      <c r="E507" s="25" t="str">
        <f t="shared" si="54"/>
        <v>Schoolwide</v>
      </c>
    </row>
    <row r="508" spans="1:5" x14ac:dyDescent="0.35">
      <c r="A508" s="29" t="s">
        <v>151</v>
      </c>
      <c r="B508" s="25" t="str">
        <f t="shared" si="57"/>
        <v>Montgomery County</v>
      </c>
      <c r="C508" s="25" t="s">
        <v>1112</v>
      </c>
      <c r="D508" s="25" t="s">
        <v>1113</v>
      </c>
      <c r="E508" s="25" t="str">
        <f t="shared" si="54"/>
        <v>Schoolwide</v>
      </c>
    </row>
    <row r="509" spans="1:5" x14ac:dyDescent="0.35">
      <c r="A509" s="29" t="s">
        <v>151</v>
      </c>
      <c r="B509" s="25" t="str">
        <f t="shared" si="57"/>
        <v>Montgomery County</v>
      </c>
      <c r="C509" s="25" t="s">
        <v>1114</v>
      </c>
      <c r="D509" s="25" t="s">
        <v>1115</v>
      </c>
      <c r="E509" s="25" t="str">
        <f t="shared" si="54"/>
        <v>Schoolwide</v>
      </c>
    </row>
    <row r="510" spans="1:5" x14ac:dyDescent="0.35">
      <c r="A510" s="29" t="s">
        <v>151</v>
      </c>
      <c r="B510" s="25" t="str">
        <f t="shared" si="57"/>
        <v>Montgomery County</v>
      </c>
      <c r="C510" s="25" t="s">
        <v>1116</v>
      </c>
      <c r="D510" s="25" t="s">
        <v>1117</v>
      </c>
      <c r="E510" s="25" t="str">
        <f t="shared" si="54"/>
        <v>Schoolwide</v>
      </c>
    </row>
    <row r="511" spans="1:5" x14ac:dyDescent="0.35">
      <c r="A511" s="29" t="s">
        <v>151</v>
      </c>
      <c r="B511" s="25" t="str">
        <f t="shared" si="57"/>
        <v>Montgomery County</v>
      </c>
      <c r="C511" s="25" t="s">
        <v>1118</v>
      </c>
      <c r="D511" s="25" t="s">
        <v>1119</v>
      </c>
      <c r="E511" s="25" t="str">
        <f t="shared" si="54"/>
        <v>Schoolwide</v>
      </c>
    </row>
    <row r="512" spans="1:5" x14ac:dyDescent="0.35">
      <c r="A512" s="29" t="s">
        <v>151</v>
      </c>
      <c r="B512" s="25" t="str">
        <f t="shared" si="57"/>
        <v>Montgomery County</v>
      </c>
      <c r="C512" s="25" t="s">
        <v>1120</v>
      </c>
      <c r="D512" s="25" t="s">
        <v>1121</v>
      </c>
      <c r="E512" s="25" t="str">
        <f t="shared" si="54"/>
        <v>Schoolwide</v>
      </c>
    </row>
    <row r="513" spans="1:5" x14ac:dyDescent="0.35">
      <c r="A513" s="29" t="s">
        <v>151</v>
      </c>
      <c r="B513" s="25" t="str">
        <f t="shared" si="57"/>
        <v>Montgomery County</v>
      </c>
      <c r="C513" s="25" t="s">
        <v>1122</v>
      </c>
      <c r="D513" s="25" t="s">
        <v>1123</v>
      </c>
      <c r="E513" s="25" t="str">
        <f t="shared" si="54"/>
        <v>Schoolwide</v>
      </c>
    </row>
    <row r="514" spans="1:5" x14ac:dyDescent="0.35">
      <c r="A514" s="29" t="s">
        <v>151</v>
      </c>
      <c r="B514" s="25" t="str">
        <f t="shared" si="57"/>
        <v>Montgomery County</v>
      </c>
      <c r="C514" s="25" t="s">
        <v>1124</v>
      </c>
      <c r="D514" s="25" t="s">
        <v>1125</v>
      </c>
      <c r="E514" s="25" t="str">
        <f t="shared" si="54"/>
        <v>Schoolwide</v>
      </c>
    </row>
    <row r="515" spans="1:5" x14ac:dyDescent="0.35">
      <c r="A515" s="29" t="s">
        <v>151</v>
      </c>
      <c r="B515" s="25" t="str">
        <f t="shared" si="57"/>
        <v>Montgomery County</v>
      </c>
      <c r="C515" s="25" t="s">
        <v>1126</v>
      </c>
      <c r="D515" s="25" t="s">
        <v>1127</v>
      </c>
      <c r="E515" s="25" t="str">
        <f t="shared" si="54"/>
        <v>Schoolwide</v>
      </c>
    </row>
    <row r="516" spans="1:5" x14ac:dyDescent="0.35">
      <c r="A516" s="29" t="s">
        <v>151</v>
      </c>
      <c r="B516" s="25" t="str">
        <f t="shared" si="57"/>
        <v>Montgomery County</v>
      </c>
      <c r="C516" s="25" t="s">
        <v>1128</v>
      </c>
      <c r="D516" s="25" t="s">
        <v>1129</v>
      </c>
      <c r="E516" s="25" t="str">
        <f t="shared" si="54"/>
        <v>Schoolwide</v>
      </c>
    </row>
    <row r="517" spans="1:5" x14ac:dyDescent="0.35">
      <c r="A517" s="29" t="s">
        <v>151</v>
      </c>
      <c r="B517" s="25" t="str">
        <f t="shared" si="57"/>
        <v>Montgomery County</v>
      </c>
      <c r="C517" s="25" t="s">
        <v>1130</v>
      </c>
      <c r="D517" s="25" t="str">
        <f>"Wilson Elementary School"</f>
        <v>Wilson Elementary School</v>
      </c>
      <c r="E517" s="25" t="str">
        <f>"Targeted Assistance"</f>
        <v>Targeted Assistance</v>
      </c>
    </row>
    <row r="518" spans="1:5" x14ac:dyDescent="0.35">
      <c r="A518" s="29" t="s">
        <v>177</v>
      </c>
      <c r="B518" s="25" t="str">
        <f t="shared" ref="B518:B525" si="58">"Morgan County"</f>
        <v>Morgan County</v>
      </c>
      <c r="C518" s="25" t="s">
        <v>1131</v>
      </c>
      <c r="D518" s="25" t="s">
        <v>1132</v>
      </c>
      <c r="E518" s="25" t="str">
        <f t="shared" ref="E518:E581" si="59">"Schoolwide"</f>
        <v>Schoolwide</v>
      </c>
    </row>
    <row r="519" spans="1:5" x14ac:dyDescent="0.35">
      <c r="A519" s="29" t="s">
        <v>177</v>
      </c>
      <c r="B519" s="25" t="str">
        <f t="shared" si="58"/>
        <v>Morgan County</v>
      </c>
      <c r="C519" s="25" t="s">
        <v>1133</v>
      </c>
      <c r="D519" s="25" t="s">
        <v>1134</v>
      </c>
      <c r="E519" s="25" t="str">
        <f t="shared" si="59"/>
        <v>Schoolwide</v>
      </c>
    </row>
    <row r="520" spans="1:5" x14ac:dyDescent="0.35">
      <c r="A520" s="29" t="s">
        <v>177</v>
      </c>
      <c r="B520" s="25" t="str">
        <f t="shared" si="58"/>
        <v>Morgan County</v>
      </c>
      <c r="C520" s="25" t="s">
        <v>1135</v>
      </c>
      <c r="D520" s="25" t="s">
        <v>1136</v>
      </c>
      <c r="E520" s="25" t="str">
        <f t="shared" si="59"/>
        <v>Schoolwide</v>
      </c>
    </row>
    <row r="521" spans="1:5" x14ac:dyDescent="0.35">
      <c r="A521" s="29" t="s">
        <v>177</v>
      </c>
      <c r="B521" s="25" t="str">
        <f t="shared" si="58"/>
        <v>Morgan County</v>
      </c>
      <c r="C521" s="25" t="s">
        <v>1137</v>
      </c>
      <c r="D521" s="25" t="s">
        <v>1138</v>
      </c>
      <c r="E521" s="25" t="str">
        <f t="shared" si="59"/>
        <v>Schoolwide</v>
      </c>
    </row>
    <row r="522" spans="1:5" x14ac:dyDescent="0.35">
      <c r="A522" s="29" t="s">
        <v>177</v>
      </c>
      <c r="B522" s="25" t="str">
        <f t="shared" si="58"/>
        <v>Morgan County</v>
      </c>
      <c r="C522" s="25" t="s">
        <v>1139</v>
      </c>
      <c r="D522" s="25" t="s">
        <v>1140</v>
      </c>
      <c r="E522" s="25" t="str">
        <f t="shared" si="59"/>
        <v>Schoolwide</v>
      </c>
    </row>
    <row r="523" spans="1:5" x14ac:dyDescent="0.35">
      <c r="A523" s="29" t="s">
        <v>177</v>
      </c>
      <c r="B523" s="25" t="str">
        <f t="shared" si="58"/>
        <v>Morgan County</v>
      </c>
      <c r="C523" s="25" t="s">
        <v>1141</v>
      </c>
      <c r="D523" s="25" t="s">
        <v>1142</v>
      </c>
      <c r="E523" s="25" t="str">
        <f t="shared" si="59"/>
        <v>Schoolwide</v>
      </c>
    </row>
    <row r="524" spans="1:5" x14ac:dyDescent="0.35">
      <c r="A524" s="29" t="s">
        <v>177</v>
      </c>
      <c r="B524" s="25" t="str">
        <f t="shared" si="58"/>
        <v>Morgan County</v>
      </c>
      <c r="C524" s="25" t="s">
        <v>1143</v>
      </c>
      <c r="D524" s="25" t="s">
        <v>1144</v>
      </c>
      <c r="E524" s="25" t="str">
        <f t="shared" si="59"/>
        <v>Schoolwide</v>
      </c>
    </row>
    <row r="525" spans="1:5" x14ac:dyDescent="0.35">
      <c r="A525" s="29" t="s">
        <v>177</v>
      </c>
      <c r="B525" s="25" t="str">
        <f t="shared" si="58"/>
        <v>Morgan County</v>
      </c>
      <c r="C525" s="25" t="s">
        <v>1145</v>
      </c>
      <c r="D525" s="25" t="s">
        <v>1146</v>
      </c>
      <c r="E525" s="25" t="str">
        <f t="shared" si="59"/>
        <v>Schoolwide</v>
      </c>
    </row>
    <row r="526" spans="1:5" x14ac:dyDescent="0.35">
      <c r="A526" s="29" t="s">
        <v>41</v>
      </c>
      <c r="B526" s="25" t="str">
        <f>"Perry County"</f>
        <v>Perry County</v>
      </c>
      <c r="C526" s="25" t="s">
        <v>1147</v>
      </c>
      <c r="D526" s="25" t="s">
        <v>1148</v>
      </c>
      <c r="E526" s="25" t="str">
        <f t="shared" si="59"/>
        <v>Schoolwide</v>
      </c>
    </row>
    <row r="527" spans="1:5" x14ac:dyDescent="0.35">
      <c r="A527" s="29" t="s">
        <v>41</v>
      </c>
      <c r="B527" s="25" t="str">
        <f>"Perry County"</f>
        <v>Perry County</v>
      </c>
      <c r="C527" s="25" t="s">
        <v>1149</v>
      </c>
      <c r="D527" s="25" t="s">
        <v>1150</v>
      </c>
      <c r="E527" s="25" t="str">
        <f t="shared" si="59"/>
        <v>Schoolwide</v>
      </c>
    </row>
    <row r="528" spans="1:5" x14ac:dyDescent="0.35">
      <c r="A528" s="29" t="s">
        <v>25</v>
      </c>
      <c r="B528" s="25" t="str">
        <f t="shared" ref="B528:B533" si="60">"Pickens County"</f>
        <v>Pickens County</v>
      </c>
      <c r="C528" s="25" t="s">
        <v>1151</v>
      </c>
      <c r="D528" s="25" t="s">
        <v>1152</v>
      </c>
      <c r="E528" s="25" t="str">
        <f t="shared" si="59"/>
        <v>Schoolwide</v>
      </c>
    </row>
    <row r="529" spans="1:5" x14ac:dyDescent="0.35">
      <c r="A529" s="29" t="s">
        <v>25</v>
      </c>
      <c r="B529" s="25" t="str">
        <f t="shared" si="60"/>
        <v>Pickens County</v>
      </c>
      <c r="C529" s="25" t="s">
        <v>1153</v>
      </c>
      <c r="D529" s="25" t="s">
        <v>1154</v>
      </c>
      <c r="E529" s="25" t="str">
        <f t="shared" si="59"/>
        <v>Schoolwide</v>
      </c>
    </row>
    <row r="530" spans="1:5" x14ac:dyDescent="0.35">
      <c r="A530" s="29" t="s">
        <v>25</v>
      </c>
      <c r="B530" s="25" t="str">
        <f t="shared" si="60"/>
        <v>Pickens County</v>
      </c>
      <c r="C530" s="25" t="s">
        <v>1155</v>
      </c>
      <c r="D530" s="25" t="s">
        <v>1156</v>
      </c>
      <c r="E530" s="25" t="str">
        <f t="shared" si="59"/>
        <v>Schoolwide</v>
      </c>
    </row>
    <row r="531" spans="1:5" x14ac:dyDescent="0.35">
      <c r="A531" s="29" t="s">
        <v>25</v>
      </c>
      <c r="B531" s="25" t="str">
        <f t="shared" si="60"/>
        <v>Pickens County</v>
      </c>
      <c r="C531" s="25" t="s">
        <v>1157</v>
      </c>
      <c r="D531" s="25" t="s">
        <v>1158</v>
      </c>
      <c r="E531" s="25" t="str">
        <f t="shared" si="59"/>
        <v>Schoolwide</v>
      </c>
    </row>
    <row r="532" spans="1:5" x14ac:dyDescent="0.35">
      <c r="A532" s="29" t="s">
        <v>25</v>
      </c>
      <c r="B532" s="25" t="str">
        <f t="shared" si="60"/>
        <v>Pickens County</v>
      </c>
      <c r="C532" s="25" t="s">
        <v>1159</v>
      </c>
      <c r="D532" s="25" t="s">
        <v>1160</v>
      </c>
      <c r="E532" s="25" t="str">
        <f t="shared" si="59"/>
        <v>Schoolwide</v>
      </c>
    </row>
    <row r="533" spans="1:5" x14ac:dyDescent="0.35">
      <c r="A533" s="29" t="s">
        <v>25</v>
      </c>
      <c r="B533" s="25" t="str">
        <f t="shared" si="60"/>
        <v>Pickens County</v>
      </c>
      <c r="C533" s="25" t="s">
        <v>1161</v>
      </c>
      <c r="D533" s="25" t="s">
        <v>1162</v>
      </c>
      <c r="E533" s="25" t="str">
        <f t="shared" si="59"/>
        <v>Schoolwide</v>
      </c>
    </row>
    <row r="534" spans="1:5" x14ac:dyDescent="0.35">
      <c r="A534" s="29" t="s">
        <v>167</v>
      </c>
      <c r="B534" s="25" t="str">
        <f>"Pike County"</f>
        <v>Pike County</v>
      </c>
      <c r="C534" s="25" t="s">
        <v>1163</v>
      </c>
      <c r="D534" s="25" t="s">
        <v>1164</v>
      </c>
      <c r="E534" s="25" t="str">
        <f t="shared" si="59"/>
        <v>Schoolwide</v>
      </c>
    </row>
    <row r="535" spans="1:5" x14ac:dyDescent="0.35">
      <c r="A535" s="29" t="s">
        <v>167</v>
      </c>
      <c r="B535" s="25" t="str">
        <f>"Pike County"</f>
        <v>Pike County</v>
      </c>
      <c r="C535" s="25" t="s">
        <v>1165</v>
      </c>
      <c r="D535" s="25" t="s">
        <v>1166</v>
      </c>
      <c r="E535" s="25" t="str">
        <f t="shared" si="59"/>
        <v>Schoolwide</v>
      </c>
    </row>
    <row r="536" spans="1:5" x14ac:dyDescent="0.35">
      <c r="A536" s="29" t="s">
        <v>167</v>
      </c>
      <c r="B536" s="25" t="str">
        <f>"Pike County"</f>
        <v>Pike County</v>
      </c>
      <c r="C536" s="25" t="s">
        <v>1167</v>
      </c>
      <c r="D536" s="25" t="s">
        <v>1168</v>
      </c>
      <c r="E536" s="25" t="str">
        <f t="shared" si="59"/>
        <v>Schoolwide</v>
      </c>
    </row>
    <row r="537" spans="1:5" x14ac:dyDescent="0.35">
      <c r="A537" s="29" t="s">
        <v>167</v>
      </c>
      <c r="B537" s="25" t="str">
        <f>"Pike County"</f>
        <v>Pike County</v>
      </c>
      <c r="C537" s="25" t="s">
        <v>1169</v>
      </c>
      <c r="D537" s="25" t="s">
        <v>1170</v>
      </c>
      <c r="E537" s="25" t="str">
        <f t="shared" si="59"/>
        <v>Schoolwide</v>
      </c>
    </row>
    <row r="538" spans="1:5" x14ac:dyDescent="0.35">
      <c r="A538" s="29" t="s">
        <v>167</v>
      </c>
      <c r="B538" s="25" t="str">
        <f>"Pike County"</f>
        <v>Pike County</v>
      </c>
      <c r="C538" s="25" t="s">
        <v>1171</v>
      </c>
      <c r="D538" s="25" t="s">
        <v>1172</v>
      </c>
      <c r="E538" s="25" t="str">
        <f t="shared" si="59"/>
        <v>Schoolwide</v>
      </c>
    </row>
    <row r="539" spans="1:5" x14ac:dyDescent="0.35">
      <c r="A539" s="29" t="s">
        <v>45</v>
      </c>
      <c r="B539" s="25" t="str">
        <f t="shared" ref="B539:B545" si="61">"Randolph County"</f>
        <v>Randolph County</v>
      </c>
      <c r="C539" s="25" t="s">
        <v>1173</v>
      </c>
      <c r="D539" s="25" t="s">
        <v>1174</v>
      </c>
      <c r="E539" s="25" t="str">
        <f t="shared" si="59"/>
        <v>Schoolwide</v>
      </c>
    </row>
    <row r="540" spans="1:5" x14ac:dyDescent="0.35">
      <c r="A540" s="29" t="s">
        <v>45</v>
      </c>
      <c r="B540" s="25" t="str">
        <f t="shared" si="61"/>
        <v>Randolph County</v>
      </c>
      <c r="C540" s="25" t="s">
        <v>1175</v>
      </c>
      <c r="D540" s="25" t="s">
        <v>1176</v>
      </c>
      <c r="E540" s="25" t="str">
        <f t="shared" si="59"/>
        <v>Schoolwide</v>
      </c>
    </row>
    <row r="541" spans="1:5" x14ac:dyDescent="0.35">
      <c r="A541" s="29" t="s">
        <v>45</v>
      </c>
      <c r="B541" s="25" t="str">
        <f t="shared" si="61"/>
        <v>Randolph County</v>
      </c>
      <c r="C541" s="25" t="s">
        <v>1177</v>
      </c>
      <c r="D541" s="25" t="s">
        <v>1178</v>
      </c>
      <c r="E541" s="25" t="str">
        <f t="shared" si="59"/>
        <v>Schoolwide</v>
      </c>
    </row>
    <row r="542" spans="1:5" x14ac:dyDescent="0.35">
      <c r="A542" s="29" t="s">
        <v>45</v>
      </c>
      <c r="B542" s="25" t="str">
        <f t="shared" si="61"/>
        <v>Randolph County</v>
      </c>
      <c r="C542" s="25" t="s">
        <v>1179</v>
      </c>
      <c r="D542" s="25" t="s">
        <v>1180</v>
      </c>
      <c r="E542" s="25" t="str">
        <f t="shared" si="59"/>
        <v>Schoolwide</v>
      </c>
    </row>
    <row r="543" spans="1:5" x14ac:dyDescent="0.35">
      <c r="A543" s="29" t="s">
        <v>45</v>
      </c>
      <c r="B543" s="25" t="str">
        <f t="shared" si="61"/>
        <v>Randolph County</v>
      </c>
      <c r="C543" s="25" t="s">
        <v>1181</v>
      </c>
      <c r="D543" s="25" t="s">
        <v>1182</v>
      </c>
      <c r="E543" s="25" t="str">
        <f t="shared" si="59"/>
        <v>Schoolwide</v>
      </c>
    </row>
    <row r="544" spans="1:5" x14ac:dyDescent="0.35">
      <c r="A544" s="29" t="s">
        <v>45</v>
      </c>
      <c r="B544" s="25" t="str">
        <f t="shared" si="61"/>
        <v>Randolph County</v>
      </c>
      <c r="C544" s="25" t="s">
        <v>1183</v>
      </c>
      <c r="D544" s="25" t="s">
        <v>1184</v>
      </c>
      <c r="E544" s="25" t="str">
        <f t="shared" si="59"/>
        <v>Schoolwide</v>
      </c>
    </row>
    <row r="545" spans="1:5" x14ac:dyDescent="0.35">
      <c r="A545" s="29" t="s">
        <v>45</v>
      </c>
      <c r="B545" s="25" t="str">
        <f t="shared" si="61"/>
        <v>Randolph County</v>
      </c>
      <c r="C545" s="25" t="s">
        <v>1185</v>
      </c>
      <c r="D545" s="25" t="s">
        <v>1186</v>
      </c>
      <c r="E545" s="25" t="str">
        <f t="shared" si="59"/>
        <v>Schoolwide</v>
      </c>
    </row>
    <row r="546" spans="1:5" x14ac:dyDescent="0.35">
      <c r="A546" s="29" t="s">
        <v>173</v>
      </c>
      <c r="B546" s="25" t="str">
        <f t="shared" ref="B546:B552" si="62">"Russell County"</f>
        <v>Russell County</v>
      </c>
      <c r="C546" s="25" t="s">
        <v>1187</v>
      </c>
      <c r="D546" s="25" t="s">
        <v>1188</v>
      </c>
      <c r="E546" s="25" t="str">
        <f t="shared" si="59"/>
        <v>Schoolwide</v>
      </c>
    </row>
    <row r="547" spans="1:5" x14ac:dyDescent="0.35">
      <c r="A547" s="29" t="s">
        <v>173</v>
      </c>
      <c r="B547" s="25" t="str">
        <f t="shared" si="62"/>
        <v>Russell County</v>
      </c>
      <c r="C547" s="25" t="s">
        <v>1189</v>
      </c>
      <c r="D547" s="25" t="s">
        <v>1190</v>
      </c>
      <c r="E547" s="25" t="str">
        <f t="shared" si="59"/>
        <v>Schoolwide</v>
      </c>
    </row>
    <row r="548" spans="1:5" x14ac:dyDescent="0.35">
      <c r="A548" s="29" t="s">
        <v>173</v>
      </c>
      <c r="B548" s="25" t="str">
        <f t="shared" si="62"/>
        <v>Russell County</v>
      </c>
      <c r="C548" s="25" t="s">
        <v>1191</v>
      </c>
      <c r="D548" s="25" t="s">
        <v>1192</v>
      </c>
      <c r="E548" s="25" t="str">
        <f t="shared" si="59"/>
        <v>Schoolwide</v>
      </c>
    </row>
    <row r="549" spans="1:5" x14ac:dyDescent="0.35">
      <c r="A549" s="29" t="s">
        <v>173</v>
      </c>
      <c r="B549" s="25" t="str">
        <f t="shared" si="62"/>
        <v>Russell County</v>
      </c>
      <c r="C549" s="25" t="s">
        <v>1193</v>
      </c>
      <c r="D549" s="25" t="s">
        <v>1194</v>
      </c>
      <c r="E549" s="25" t="str">
        <f t="shared" si="59"/>
        <v>Schoolwide</v>
      </c>
    </row>
    <row r="550" spans="1:5" x14ac:dyDescent="0.35">
      <c r="A550" s="29" t="s">
        <v>173</v>
      </c>
      <c r="B550" s="25" t="str">
        <f t="shared" si="62"/>
        <v>Russell County</v>
      </c>
      <c r="C550" s="25" t="s">
        <v>1195</v>
      </c>
      <c r="D550" s="25" t="s">
        <v>1196</v>
      </c>
      <c r="E550" s="25" t="str">
        <f t="shared" si="59"/>
        <v>Schoolwide</v>
      </c>
    </row>
    <row r="551" spans="1:5" x14ac:dyDescent="0.35">
      <c r="A551" s="29" t="s">
        <v>173</v>
      </c>
      <c r="B551" s="25" t="str">
        <f t="shared" si="62"/>
        <v>Russell County</v>
      </c>
      <c r="C551" s="25" t="s">
        <v>1197</v>
      </c>
      <c r="D551" s="25" t="s">
        <v>1198</v>
      </c>
      <c r="E551" s="25" t="str">
        <f t="shared" si="59"/>
        <v>Schoolwide</v>
      </c>
    </row>
    <row r="552" spans="1:5" x14ac:dyDescent="0.35">
      <c r="A552" s="29" t="s">
        <v>173</v>
      </c>
      <c r="B552" s="25" t="str">
        <f t="shared" si="62"/>
        <v>Russell County</v>
      </c>
      <c r="C552" s="25" t="s">
        <v>1199</v>
      </c>
      <c r="D552" s="25" t="s">
        <v>1200</v>
      </c>
      <c r="E552" s="25" t="str">
        <f t="shared" si="59"/>
        <v>Schoolwide</v>
      </c>
    </row>
    <row r="553" spans="1:5" x14ac:dyDescent="0.35">
      <c r="A553" s="29" t="s">
        <v>220</v>
      </c>
      <c r="B553" s="25" t="str">
        <f t="shared" ref="B553:B559" si="63">"St Clair County"</f>
        <v>St Clair County</v>
      </c>
      <c r="C553" s="25" t="s">
        <v>1201</v>
      </c>
      <c r="D553" s="25" t="s">
        <v>1202</v>
      </c>
      <c r="E553" s="25" t="str">
        <f t="shared" si="59"/>
        <v>Schoolwide</v>
      </c>
    </row>
    <row r="554" spans="1:5" x14ac:dyDescent="0.35">
      <c r="A554" s="29" t="s">
        <v>220</v>
      </c>
      <c r="B554" s="25" t="str">
        <f t="shared" si="63"/>
        <v>St Clair County</v>
      </c>
      <c r="C554" s="25" t="s">
        <v>1203</v>
      </c>
      <c r="D554" s="25" t="s">
        <v>1204</v>
      </c>
      <c r="E554" s="25" t="str">
        <f t="shared" si="59"/>
        <v>Schoolwide</v>
      </c>
    </row>
    <row r="555" spans="1:5" x14ac:dyDescent="0.35">
      <c r="A555" s="29" t="s">
        <v>220</v>
      </c>
      <c r="B555" s="25" t="str">
        <f t="shared" si="63"/>
        <v>St Clair County</v>
      </c>
      <c r="C555" s="25" t="s">
        <v>1205</v>
      </c>
      <c r="D555" s="25" t="s">
        <v>1206</v>
      </c>
      <c r="E555" s="25" t="str">
        <f t="shared" si="59"/>
        <v>Schoolwide</v>
      </c>
    </row>
    <row r="556" spans="1:5" x14ac:dyDescent="0.35">
      <c r="A556" s="29" t="s">
        <v>220</v>
      </c>
      <c r="B556" s="25" t="str">
        <f t="shared" si="63"/>
        <v>St Clair County</v>
      </c>
      <c r="C556" s="25" t="s">
        <v>1207</v>
      </c>
      <c r="D556" s="25" t="s">
        <v>1208</v>
      </c>
      <c r="E556" s="25" t="str">
        <f t="shared" si="59"/>
        <v>Schoolwide</v>
      </c>
    </row>
    <row r="557" spans="1:5" x14ac:dyDescent="0.35">
      <c r="A557" s="29" t="s">
        <v>220</v>
      </c>
      <c r="B557" s="25" t="str">
        <f t="shared" si="63"/>
        <v>St Clair County</v>
      </c>
      <c r="C557" s="25" t="s">
        <v>1209</v>
      </c>
      <c r="D557" s="25" t="s">
        <v>1210</v>
      </c>
      <c r="E557" s="25" t="str">
        <f t="shared" si="59"/>
        <v>Schoolwide</v>
      </c>
    </row>
    <row r="558" spans="1:5" x14ac:dyDescent="0.35">
      <c r="A558" s="29" t="s">
        <v>220</v>
      </c>
      <c r="B558" s="25" t="str">
        <f t="shared" si="63"/>
        <v>St Clair County</v>
      </c>
      <c r="C558" s="25" t="s">
        <v>1211</v>
      </c>
      <c r="D558" s="25" t="s">
        <v>1212</v>
      </c>
      <c r="E558" s="25" t="str">
        <f t="shared" si="59"/>
        <v>Schoolwide</v>
      </c>
    </row>
    <row r="559" spans="1:5" x14ac:dyDescent="0.35">
      <c r="A559" s="29" t="s">
        <v>220</v>
      </c>
      <c r="B559" s="25" t="str">
        <f t="shared" si="63"/>
        <v>St Clair County</v>
      </c>
      <c r="C559" s="25" t="s">
        <v>1213</v>
      </c>
      <c r="D559" s="25" t="s">
        <v>1214</v>
      </c>
      <c r="E559" s="25" t="str">
        <f t="shared" si="59"/>
        <v>Schoolwide</v>
      </c>
    </row>
    <row r="560" spans="1:5" x14ac:dyDescent="0.35">
      <c r="A560" s="29" t="s">
        <v>222</v>
      </c>
      <c r="B560" s="25" t="str">
        <f t="shared" ref="B560:B566" si="64">"Shelby County"</f>
        <v>Shelby County</v>
      </c>
      <c r="C560" s="25" t="s">
        <v>1215</v>
      </c>
      <c r="D560" s="25" t="s">
        <v>1216</v>
      </c>
      <c r="E560" s="25" t="str">
        <f t="shared" si="59"/>
        <v>Schoolwide</v>
      </c>
    </row>
    <row r="561" spans="1:5" x14ac:dyDescent="0.35">
      <c r="A561" s="29" t="s">
        <v>222</v>
      </c>
      <c r="B561" s="25" t="str">
        <f t="shared" si="64"/>
        <v>Shelby County</v>
      </c>
      <c r="C561" s="25" t="s">
        <v>1217</v>
      </c>
      <c r="D561" s="25" t="s">
        <v>1218</v>
      </c>
      <c r="E561" s="25" t="str">
        <f t="shared" si="59"/>
        <v>Schoolwide</v>
      </c>
    </row>
    <row r="562" spans="1:5" x14ac:dyDescent="0.35">
      <c r="A562" s="29" t="s">
        <v>222</v>
      </c>
      <c r="B562" s="25" t="str">
        <f t="shared" si="64"/>
        <v>Shelby County</v>
      </c>
      <c r="C562" s="25" t="s">
        <v>1219</v>
      </c>
      <c r="D562" s="25" t="s">
        <v>1220</v>
      </c>
      <c r="E562" s="25" t="str">
        <f t="shared" si="59"/>
        <v>Schoolwide</v>
      </c>
    </row>
    <row r="563" spans="1:5" x14ac:dyDescent="0.35">
      <c r="A563" s="29" t="s">
        <v>222</v>
      </c>
      <c r="B563" s="25" t="str">
        <f t="shared" si="64"/>
        <v>Shelby County</v>
      </c>
      <c r="C563" s="25" t="s">
        <v>1221</v>
      </c>
      <c r="D563" s="25" t="s">
        <v>1222</v>
      </c>
      <c r="E563" s="25" t="str">
        <f t="shared" si="59"/>
        <v>Schoolwide</v>
      </c>
    </row>
    <row r="564" spans="1:5" x14ac:dyDescent="0.35">
      <c r="A564" s="29" t="s">
        <v>222</v>
      </c>
      <c r="B564" s="25" t="str">
        <f t="shared" si="64"/>
        <v>Shelby County</v>
      </c>
      <c r="C564" s="25" t="s">
        <v>1223</v>
      </c>
      <c r="D564" s="25" t="s">
        <v>1224</v>
      </c>
      <c r="E564" s="25" t="str">
        <f t="shared" si="59"/>
        <v>Schoolwide</v>
      </c>
    </row>
    <row r="565" spans="1:5" x14ac:dyDescent="0.35">
      <c r="A565" s="29" t="s">
        <v>222</v>
      </c>
      <c r="B565" s="25" t="str">
        <f t="shared" si="64"/>
        <v>Shelby County</v>
      </c>
      <c r="C565" s="25" t="s">
        <v>1225</v>
      </c>
      <c r="D565" s="25" t="s">
        <v>1226</v>
      </c>
      <c r="E565" s="25" t="str">
        <f t="shared" si="59"/>
        <v>Schoolwide</v>
      </c>
    </row>
    <row r="566" spans="1:5" x14ac:dyDescent="0.35">
      <c r="A566" s="29" t="s">
        <v>222</v>
      </c>
      <c r="B566" s="25" t="str">
        <f t="shared" si="64"/>
        <v>Shelby County</v>
      </c>
      <c r="C566" s="25" t="s">
        <v>1227</v>
      </c>
      <c r="D566" s="25" t="s">
        <v>1228</v>
      </c>
      <c r="E566" s="25" t="str">
        <f t="shared" si="59"/>
        <v>Schoolwide</v>
      </c>
    </row>
    <row r="567" spans="1:5" x14ac:dyDescent="0.35">
      <c r="A567" s="29" t="s">
        <v>59</v>
      </c>
      <c r="B567" s="25" t="str">
        <f>"Sumter County"</f>
        <v>Sumter County</v>
      </c>
      <c r="C567" s="25" t="s">
        <v>1229</v>
      </c>
      <c r="D567" s="25" t="s">
        <v>1230</v>
      </c>
      <c r="E567" s="25" t="str">
        <f t="shared" si="59"/>
        <v>Schoolwide</v>
      </c>
    </row>
    <row r="568" spans="1:5" x14ac:dyDescent="0.35">
      <c r="A568" s="29" t="s">
        <v>59</v>
      </c>
      <c r="B568" s="25" t="str">
        <f>"Sumter County"</f>
        <v>Sumter County</v>
      </c>
      <c r="C568" s="25" t="s">
        <v>1231</v>
      </c>
      <c r="D568" s="25" t="s">
        <v>1232</v>
      </c>
      <c r="E568" s="25" t="str">
        <f t="shared" si="59"/>
        <v>Schoolwide</v>
      </c>
    </row>
    <row r="569" spans="1:5" x14ac:dyDescent="0.35">
      <c r="A569" s="29" t="s">
        <v>59</v>
      </c>
      <c r="B569" s="25" t="str">
        <f>"Sumter County"</f>
        <v>Sumter County</v>
      </c>
      <c r="C569" s="25" t="s">
        <v>1233</v>
      </c>
      <c r="D569" s="25" t="s">
        <v>1234</v>
      </c>
      <c r="E569" s="25" t="str">
        <f t="shared" si="59"/>
        <v>Schoolwide</v>
      </c>
    </row>
    <row r="570" spans="1:5" x14ac:dyDescent="0.35">
      <c r="A570" s="29" t="s">
        <v>59</v>
      </c>
      <c r="B570" s="25" t="str">
        <f>"Sumter County"</f>
        <v>Sumter County</v>
      </c>
      <c r="C570" s="25" t="s">
        <v>1235</v>
      </c>
      <c r="D570" s="25" t="s">
        <v>1236</v>
      </c>
      <c r="E570" s="25" t="str">
        <f t="shared" si="59"/>
        <v>Schoolwide</v>
      </c>
    </row>
    <row r="571" spans="1:5" x14ac:dyDescent="0.35">
      <c r="A571" s="29" t="s">
        <v>35</v>
      </c>
      <c r="B571" s="25" t="str">
        <f t="shared" ref="B571:B585" si="65">"Talladega County"</f>
        <v>Talladega County</v>
      </c>
      <c r="C571" s="25" t="s">
        <v>1237</v>
      </c>
      <c r="D571" s="25" t="s">
        <v>1238</v>
      </c>
      <c r="E571" s="25" t="str">
        <f t="shared" si="59"/>
        <v>Schoolwide</v>
      </c>
    </row>
    <row r="572" spans="1:5" x14ac:dyDescent="0.35">
      <c r="A572" s="29" t="s">
        <v>35</v>
      </c>
      <c r="B572" s="25" t="str">
        <f t="shared" si="65"/>
        <v>Talladega County</v>
      </c>
      <c r="C572" s="25" t="s">
        <v>1239</v>
      </c>
      <c r="D572" s="25" t="s">
        <v>1240</v>
      </c>
      <c r="E572" s="25" t="str">
        <f t="shared" si="59"/>
        <v>Schoolwide</v>
      </c>
    </row>
    <row r="573" spans="1:5" x14ac:dyDescent="0.35">
      <c r="A573" s="29" t="s">
        <v>35</v>
      </c>
      <c r="B573" s="25" t="str">
        <f t="shared" si="65"/>
        <v>Talladega County</v>
      </c>
      <c r="C573" s="25" t="s">
        <v>1241</v>
      </c>
      <c r="D573" s="25" t="s">
        <v>1242</v>
      </c>
      <c r="E573" s="25" t="str">
        <f t="shared" si="59"/>
        <v>Schoolwide</v>
      </c>
    </row>
    <row r="574" spans="1:5" x14ac:dyDescent="0.35">
      <c r="A574" s="29" t="s">
        <v>35</v>
      </c>
      <c r="B574" s="25" t="str">
        <f t="shared" si="65"/>
        <v>Talladega County</v>
      </c>
      <c r="C574" s="25" t="s">
        <v>1243</v>
      </c>
      <c r="D574" s="25" t="s">
        <v>1244</v>
      </c>
      <c r="E574" s="25" t="str">
        <f t="shared" si="59"/>
        <v>Schoolwide</v>
      </c>
    </row>
    <row r="575" spans="1:5" x14ac:dyDescent="0.35">
      <c r="A575" s="29" t="s">
        <v>35</v>
      </c>
      <c r="B575" s="25" t="str">
        <f t="shared" si="65"/>
        <v>Talladega County</v>
      </c>
      <c r="C575" s="25" t="s">
        <v>1245</v>
      </c>
      <c r="D575" s="25" t="s">
        <v>1246</v>
      </c>
      <c r="E575" s="25" t="str">
        <f t="shared" si="59"/>
        <v>Schoolwide</v>
      </c>
    </row>
    <row r="576" spans="1:5" x14ac:dyDescent="0.35">
      <c r="A576" s="29" t="s">
        <v>35</v>
      </c>
      <c r="B576" s="25" t="str">
        <f t="shared" si="65"/>
        <v>Talladega County</v>
      </c>
      <c r="C576" s="25" t="s">
        <v>1247</v>
      </c>
      <c r="D576" s="25" t="s">
        <v>1248</v>
      </c>
      <c r="E576" s="25" t="str">
        <f t="shared" si="59"/>
        <v>Schoolwide</v>
      </c>
    </row>
    <row r="577" spans="1:5" x14ac:dyDescent="0.35">
      <c r="A577" s="29" t="s">
        <v>35</v>
      </c>
      <c r="B577" s="25" t="str">
        <f t="shared" si="65"/>
        <v>Talladega County</v>
      </c>
      <c r="C577" s="25" t="s">
        <v>1249</v>
      </c>
      <c r="D577" s="25" t="s">
        <v>1250</v>
      </c>
      <c r="E577" s="25" t="str">
        <f t="shared" si="59"/>
        <v>Schoolwide</v>
      </c>
    </row>
    <row r="578" spans="1:5" x14ac:dyDescent="0.35">
      <c r="A578" s="29" t="s">
        <v>35</v>
      </c>
      <c r="B578" s="25" t="str">
        <f t="shared" si="65"/>
        <v>Talladega County</v>
      </c>
      <c r="C578" s="25" t="s">
        <v>1251</v>
      </c>
      <c r="D578" s="25" t="s">
        <v>1252</v>
      </c>
      <c r="E578" s="25" t="str">
        <f t="shared" si="59"/>
        <v>Schoolwide</v>
      </c>
    </row>
    <row r="579" spans="1:5" x14ac:dyDescent="0.35">
      <c r="A579" s="29" t="s">
        <v>35</v>
      </c>
      <c r="B579" s="25" t="str">
        <f t="shared" si="65"/>
        <v>Talladega County</v>
      </c>
      <c r="C579" s="25" t="s">
        <v>1253</v>
      </c>
      <c r="D579" s="25" t="s">
        <v>1254</v>
      </c>
      <c r="E579" s="25" t="str">
        <f t="shared" si="59"/>
        <v>Schoolwide</v>
      </c>
    </row>
    <row r="580" spans="1:5" x14ac:dyDescent="0.35">
      <c r="A580" s="29" t="s">
        <v>35</v>
      </c>
      <c r="B580" s="25" t="str">
        <f t="shared" si="65"/>
        <v>Talladega County</v>
      </c>
      <c r="C580" s="25" t="s">
        <v>1255</v>
      </c>
      <c r="D580" s="25" t="s">
        <v>1256</v>
      </c>
      <c r="E580" s="25" t="str">
        <f t="shared" si="59"/>
        <v>Schoolwide</v>
      </c>
    </row>
    <row r="581" spans="1:5" x14ac:dyDescent="0.35">
      <c r="A581" s="29" t="s">
        <v>35</v>
      </c>
      <c r="B581" s="25" t="str">
        <f t="shared" si="65"/>
        <v>Talladega County</v>
      </c>
      <c r="C581" s="25" t="s">
        <v>1257</v>
      </c>
      <c r="D581" s="25" t="s">
        <v>1258</v>
      </c>
      <c r="E581" s="25" t="str">
        <f t="shared" si="59"/>
        <v>Schoolwide</v>
      </c>
    </row>
    <row r="582" spans="1:5" x14ac:dyDescent="0.35">
      <c r="A582" s="29" t="s">
        <v>35</v>
      </c>
      <c r="B582" s="25" t="str">
        <f t="shared" si="65"/>
        <v>Talladega County</v>
      </c>
      <c r="C582" s="25" t="s">
        <v>1259</v>
      </c>
      <c r="D582" s="25" t="s">
        <v>1260</v>
      </c>
      <c r="E582" s="25" t="str">
        <f t="shared" ref="E582:E645" si="66">"Schoolwide"</f>
        <v>Schoolwide</v>
      </c>
    </row>
    <row r="583" spans="1:5" x14ac:dyDescent="0.35">
      <c r="A583" s="29" t="s">
        <v>35</v>
      </c>
      <c r="B583" s="25" t="str">
        <f t="shared" si="65"/>
        <v>Talladega County</v>
      </c>
      <c r="C583" s="25" t="s">
        <v>1261</v>
      </c>
      <c r="D583" s="25" t="s">
        <v>1262</v>
      </c>
      <c r="E583" s="25" t="str">
        <f t="shared" si="66"/>
        <v>Schoolwide</v>
      </c>
    </row>
    <row r="584" spans="1:5" x14ac:dyDescent="0.35">
      <c r="A584" s="29" t="s">
        <v>35</v>
      </c>
      <c r="B584" s="25" t="str">
        <f t="shared" si="65"/>
        <v>Talladega County</v>
      </c>
      <c r="C584" s="25" t="s">
        <v>1263</v>
      </c>
      <c r="D584" s="25" t="s">
        <v>1264</v>
      </c>
      <c r="E584" s="25" t="str">
        <f t="shared" si="66"/>
        <v>Schoolwide</v>
      </c>
    </row>
    <row r="585" spans="1:5" x14ac:dyDescent="0.35">
      <c r="A585" s="29" t="s">
        <v>35</v>
      </c>
      <c r="B585" s="25" t="str">
        <f t="shared" si="65"/>
        <v>Talladega County</v>
      </c>
      <c r="C585" s="25" t="s">
        <v>1265</v>
      </c>
      <c r="D585" s="25" t="s">
        <v>1266</v>
      </c>
      <c r="E585" s="25" t="str">
        <f t="shared" si="66"/>
        <v>Schoolwide</v>
      </c>
    </row>
    <row r="586" spans="1:5" x14ac:dyDescent="0.35">
      <c r="A586" s="29" t="s">
        <v>91</v>
      </c>
      <c r="B586" s="25" t="str">
        <f>"Tallapoosa County"</f>
        <v>Tallapoosa County</v>
      </c>
      <c r="C586" s="25" t="s">
        <v>1267</v>
      </c>
      <c r="D586" s="25" t="s">
        <v>1268</v>
      </c>
      <c r="E586" s="25" t="str">
        <f t="shared" si="66"/>
        <v>Schoolwide</v>
      </c>
    </row>
    <row r="587" spans="1:5" x14ac:dyDescent="0.35">
      <c r="A587" s="29" t="s">
        <v>91</v>
      </c>
      <c r="B587" s="25" t="str">
        <f>"Tallapoosa County"</f>
        <v>Tallapoosa County</v>
      </c>
      <c r="C587" s="25" t="s">
        <v>1269</v>
      </c>
      <c r="D587" s="25" t="s">
        <v>1270</v>
      </c>
      <c r="E587" s="25" t="str">
        <f t="shared" si="66"/>
        <v>Schoolwide</v>
      </c>
    </row>
    <row r="588" spans="1:5" x14ac:dyDescent="0.35">
      <c r="A588" s="29" t="s">
        <v>91</v>
      </c>
      <c r="B588" s="25" t="str">
        <f>"Tallapoosa County"</f>
        <v>Tallapoosa County</v>
      </c>
      <c r="C588" s="25" t="s">
        <v>1271</v>
      </c>
      <c r="D588" s="25" t="s">
        <v>1272</v>
      </c>
      <c r="E588" s="25" t="str">
        <f t="shared" si="66"/>
        <v>Schoolwide</v>
      </c>
    </row>
    <row r="589" spans="1:5" x14ac:dyDescent="0.35">
      <c r="A589" s="29" t="s">
        <v>91</v>
      </c>
      <c r="B589" s="25" t="str">
        <f>"Tallapoosa County"</f>
        <v>Tallapoosa County</v>
      </c>
      <c r="C589" s="25" t="s">
        <v>1273</v>
      </c>
      <c r="D589" s="25" t="s">
        <v>1274</v>
      </c>
      <c r="E589" s="25" t="str">
        <f t="shared" si="66"/>
        <v>Schoolwide</v>
      </c>
    </row>
    <row r="590" spans="1:5" x14ac:dyDescent="0.35">
      <c r="A590" s="29" t="s">
        <v>91</v>
      </c>
      <c r="B590" s="25" t="str">
        <f>"Tallapoosa County"</f>
        <v>Tallapoosa County</v>
      </c>
      <c r="C590" s="25" t="s">
        <v>1275</v>
      </c>
      <c r="D590" s="25" t="s">
        <v>1276</v>
      </c>
      <c r="E590" s="25" t="str">
        <f t="shared" si="66"/>
        <v>Schoolwide</v>
      </c>
    </row>
    <row r="591" spans="1:5" x14ac:dyDescent="0.35">
      <c r="A591" s="29" t="s">
        <v>169</v>
      </c>
      <c r="B591" s="25" t="str">
        <f t="shared" ref="B591:B605" si="67">"Tuscaloosa County"</f>
        <v>Tuscaloosa County</v>
      </c>
      <c r="C591" s="25" t="s">
        <v>1277</v>
      </c>
      <c r="D591" s="25" t="s">
        <v>1278</v>
      </c>
      <c r="E591" s="25" t="str">
        <f t="shared" si="66"/>
        <v>Schoolwide</v>
      </c>
    </row>
    <row r="592" spans="1:5" x14ac:dyDescent="0.35">
      <c r="A592" s="29" t="s">
        <v>169</v>
      </c>
      <c r="B592" s="25" t="str">
        <f t="shared" si="67"/>
        <v>Tuscaloosa County</v>
      </c>
      <c r="C592" s="25" t="s">
        <v>1279</v>
      </c>
      <c r="D592" s="25" t="s">
        <v>1280</v>
      </c>
      <c r="E592" s="25" t="str">
        <f t="shared" si="66"/>
        <v>Schoolwide</v>
      </c>
    </row>
    <row r="593" spans="1:5" x14ac:dyDescent="0.35">
      <c r="A593" s="29" t="s">
        <v>169</v>
      </c>
      <c r="B593" s="25" t="str">
        <f t="shared" si="67"/>
        <v>Tuscaloosa County</v>
      </c>
      <c r="C593" s="25" t="s">
        <v>1281</v>
      </c>
      <c r="D593" s="25" t="s">
        <v>1282</v>
      </c>
      <c r="E593" s="25" t="str">
        <f t="shared" si="66"/>
        <v>Schoolwide</v>
      </c>
    </row>
    <row r="594" spans="1:5" x14ac:dyDescent="0.35">
      <c r="A594" s="29" t="s">
        <v>169</v>
      </c>
      <c r="B594" s="25" t="str">
        <f t="shared" si="67"/>
        <v>Tuscaloosa County</v>
      </c>
      <c r="C594" s="25" t="s">
        <v>1283</v>
      </c>
      <c r="D594" s="25" t="s">
        <v>1284</v>
      </c>
      <c r="E594" s="25" t="str">
        <f t="shared" si="66"/>
        <v>Schoolwide</v>
      </c>
    </row>
    <row r="595" spans="1:5" x14ac:dyDescent="0.35">
      <c r="A595" s="29" t="s">
        <v>169</v>
      </c>
      <c r="B595" s="25" t="str">
        <f t="shared" si="67"/>
        <v>Tuscaloosa County</v>
      </c>
      <c r="C595" s="25" t="s">
        <v>1285</v>
      </c>
      <c r="D595" s="25" t="s">
        <v>1286</v>
      </c>
      <c r="E595" s="25" t="str">
        <f t="shared" si="66"/>
        <v>Schoolwide</v>
      </c>
    </row>
    <row r="596" spans="1:5" x14ac:dyDescent="0.35">
      <c r="A596" s="29" t="s">
        <v>169</v>
      </c>
      <c r="B596" s="25" t="str">
        <f t="shared" si="67"/>
        <v>Tuscaloosa County</v>
      </c>
      <c r="C596" s="25" t="s">
        <v>1287</v>
      </c>
      <c r="D596" s="25" t="s">
        <v>1288</v>
      </c>
      <c r="E596" s="25" t="str">
        <f t="shared" si="66"/>
        <v>Schoolwide</v>
      </c>
    </row>
    <row r="597" spans="1:5" x14ac:dyDescent="0.35">
      <c r="A597" s="29" t="s">
        <v>169</v>
      </c>
      <c r="B597" s="25" t="str">
        <f t="shared" si="67"/>
        <v>Tuscaloosa County</v>
      </c>
      <c r="C597" s="25" t="s">
        <v>1289</v>
      </c>
      <c r="D597" s="25" t="s">
        <v>1290</v>
      </c>
      <c r="E597" s="25" t="str">
        <f t="shared" si="66"/>
        <v>Schoolwide</v>
      </c>
    </row>
    <row r="598" spans="1:5" x14ac:dyDescent="0.35">
      <c r="A598" s="29" t="s">
        <v>169</v>
      </c>
      <c r="B598" s="25" t="str">
        <f t="shared" si="67"/>
        <v>Tuscaloosa County</v>
      </c>
      <c r="C598" s="25" t="s">
        <v>1291</v>
      </c>
      <c r="D598" s="25" t="s">
        <v>1292</v>
      </c>
      <c r="E598" s="25" t="str">
        <f t="shared" si="66"/>
        <v>Schoolwide</v>
      </c>
    </row>
    <row r="599" spans="1:5" x14ac:dyDescent="0.35">
      <c r="A599" s="29" t="s">
        <v>169</v>
      </c>
      <c r="B599" s="25" t="str">
        <f t="shared" si="67"/>
        <v>Tuscaloosa County</v>
      </c>
      <c r="C599" s="25" t="s">
        <v>1293</v>
      </c>
      <c r="D599" s="25" t="s">
        <v>1294</v>
      </c>
      <c r="E599" s="25" t="str">
        <f t="shared" si="66"/>
        <v>Schoolwide</v>
      </c>
    </row>
    <row r="600" spans="1:5" x14ac:dyDescent="0.35">
      <c r="A600" s="29" t="s">
        <v>169</v>
      </c>
      <c r="B600" s="25" t="str">
        <f t="shared" si="67"/>
        <v>Tuscaloosa County</v>
      </c>
      <c r="C600" s="25" t="s">
        <v>1295</v>
      </c>
      <c r="D600" s="25" t="s">
        <v>1296</v>
      </c>
      <c r="E600" s="25" t="str">
        <f t="shared" si="66"/>
        <v>Schoolwide</v>
      </c>
    </row>
    <row r="601" spans="1:5" x14ac:dyDescent="0.35">
      <c r="A601" s="29" t="s">
        <v>169</v>
      </c>
      <c r="B601" s="25" t="str">
        <f t="shared" si="67"/>
        <v>Tuscaloosa County</v>
      </c>
      <c r="C601" s="25" t="s">
        <v>1297</v>
      </c>
      <c r="D601" s="25" t="s">
        <v>1298</v>
      </c>
      <c r="E601" s="25" t="str">
        <f t="shared" si="66"/>
        <v>Schoolwide</v>
      </c>
    </row>
    <row r="602" spans="1:5" x14ac:dyDescent="0.35">
      <c r="A602" s="29" t="s">
        <v>169</v>
      </c>
      <c r="B602" s="25" t="str">
        <f t="shared" si="67"/>
        <v>Tuscaloosa County</v>
      </c>
      <c r="C602" s="25" t="s">
        <v>1299</v>
      </c>
      <c r="D602" s="25" t="s">
        <v>1300</v>
      </c>
      <c r="E602" s="25" t="str">
        <f t="shared" si="66"/>
        <v>Schoolwide</v>
      </c>
    </row>
    <row r="603" spans="1:5" x14ac:dyDescent="0.35">
      <c r="A603" s="29" t="s">
        <v>169</v>
      </c>
      <c r="B603" s="25" t="str">
        <f t="shared" si="67"/>
        <v>Tuscaloosa County</v>
      </c>
      <c r="C603" s="25" t="s">
        <v>1301</v>
      </c>
      <c r="D603" s="25" t="s">
        <v>1302</v>
      </c>
      <c r="E603" s="25" t="str">
        <f t="shared" si="66"/>
        <v>Schoolwide</v>
      </c>
    </row>
    <row r="604" spans="1:5" x14ac:dyDescent="0.35">
      <c r="A604" s="29" t="s">
        <v>169</v>
      </c>
      <c r="B604" s="25" t="str">
        <f t="shared" si="67"/>
        <v>Tuscaloosa County</v>
      </c>
      <c r="C604" s="25" t="s">
        <v>1303</v>
      </c>
      <c r="D604" s="25" t="s">
        <v>1304</v>
      </c>
      <c r="E604" s="25" t="str">
        <f t="shared" si="66"/>
        <v>Schoolwide</v>
      </c>
    </row>
    <row r="605" spans="1:5" x14ac:dyDescent="0.35">
      <c r="A605" s="29" t="s">
        <v>169</v>
      </c>
      <c r="B605" s="25" t="str">
        <f t="shared" si="67"/>
        <v>Tuscaloosa County</v>
      </c>
      <c r="C605" s="25" t="s">
        <v>1305</v>
      </c>
      <c r="D605" s="25" t="s">
        <v>1306</v>
      </c>
      <c r="E605" s="25" t="str">
        <f t="shared" si="66"/>
        <v>Schoolwide</v>
      </c>
    </row>
    <row r="606" spans="1:5" x14ac:dyDescent="0.35">
      <c r="A606" s="29" t="s">
        <v>113</v>
      </c>
      <c r="B606" s="25" t="str">
        <f t="shared" ref="B606:B616" si="68">"Walker County"</f>
        <v>Walker County</v>
      </c>
      <c r="C606" s="25" t="s">
        <v>1307</v>
      </c>
      <c r="D606" s="25" t="s">
        <v>1308</v>
      </c>
      <c r="E606" s="25" t="str">
        <f t="shared" si="66"/>
        <v>Schoolwide</v>
      </c>
    </row>
    <row r="607" spans="1:5" x14ac:dyDescent="0.35">
      <c r="A607" s="29" t="s">
        <v>113</v>
      </c>
      <c r="B607" s="25" t="str">
        <f t="shared" si="68"/>
        <v>Walker County</v>
      </c>
      <c r="C607" s="25" t="s">
        <v>1309</v>
      </c>
      <c r="D607" s="25" t="s">
        <v>1310</v>
      </c>
      <c r="E607" s="25" t="str">
        <f t="shared" si="66"/>
        <v>Schoolwide</v>
      </c>
    </row>
    <row r="608" spans="1:5" x14ac:dyDescent="0.35">
      <c r="A608" s="29" t="s">
        <v>113</v>
      </c>
      <c r="B608" s="25" t="str">
        <f t="shared" si="68"/>
        <v>Walker County</v>
      </c>
      <c r="C608" s="25" t="s">
        <v>1311</v>
      </c>
      <c r="D608" s="25" t="s">
        <v>1312</v>
      </c>
      <c r="E608" s="25" t="str">
        <f t="shared" si="66"/>
        <v>Schoolwide</v>
      </c>
    </row>
    <row r="609" spans="1:5" x14ac:dyDescent="0.35">
      <c r="A609" s="29" t="s">
        <v>113</v>
      </c>
      <c r="B609" s="25" t="str">
        <f t="shared" si="68"/>
        <v>Walker County</v>
      </c>
      <c r="C609" s="25" t="s">
        <v>1313</v>
      </c>
      <c r="D609" s="25" t="s">
        <v>1314</v>
      </c>
      <c r="E609" s="25" t="str">
        <f t="shared" si="66"/>
        <v>Schoolwide</v>
      </c>
    </row>
    <row r="610" spans="1:5" x14ac:dyDescent="0.35">
      <c r="A610" s="29" t="s">
        <v>113</v>
      </c>
      <c r="B610" s="25" t="str">
        <f t="shared" si="68"/>
        <v>Walker County</v>
      </c>
      <c r="C610" s="25" t="s">
        <v>1315</v>
      </c>
      <c r="D610" s="25" t="s">
        <v>1316</v>
      </c>
      <c r="E610" s="25" t="str">
        <f t="shared" si="66"/>
        <v>Schoolwide</v>
      </c>
    </row>
    <row r="611" spans="1:5" x14ac:dyDescent="0.35">
      <c r="A611" s="29" t="s">
        <v>113</v>
      </c>
      <c r="B611" s="25" t="str">
        <f t="shared" si="68"/>
        <v>Walker County</v>
      </c>
      <c r="C611" s="25" t="s">
        <v>1317</v>
      </c>
      <c r="D611" s="25" t="s">
        <v>1318</v>
      </c>
      <c r="E611" s="25" t="str">
        <f t="shared" si="66"/>
        <v>Schoolwide</v>
      </c>
    </row>
    <row r="612" spans="1:5" x14ac:dyDescent="0.35">
      <c r="A612" s="29" t="s">
        <v>113</v>
      </c>
      <c r="B612" s="25" t="str">
        <f t="shared" si="68"/>
        <v>Walker County</v>
      </c>
      <c r="C612" s="25" t="s">
        <v>1319</v>
      </c>
      <c r="D612" s="25" t="s">
        <v>1320</v>
      </c>
      <c r="E612" s="25" t="str">
        <f t="shared" si="66"/>
        <v>Schoolwide</v>
      </c>
    </row>
    <row r="613" spans="1:5" x14ac:dyDescent="0.35">
      <c r="A613" s="29" t="s">
        <v>113</v>
      </c>
      <c r="B613" s="25" t="str">
        <f t="shared" si="68"/>
        <v>Walker County</v>
      </c>
      <c r="C613" s="25" t="s">
        <v>1321</v>
      </c>
      <c r="D613" s="25" t="s">
        <v>1322</v>
      </c>
      <c r="E613" s="25" t="str">
        <f t="shared" si="66"/>
        <v>Schoolwide</v>
      </c>
    </row>
    <row r="614" spans="1:5" x14ac:dyDescent="0.35">
      <c r="A614" s="29" t="s">
        <v>113</v>
      </c>
      <c r="B614" s="25" t="str">
        <f t="shared" si="68"/>
        <v>Walker County</v>
      </c>
      <c r="C614" s="25" t="s">
        <v>1323</v>
      </c>
      <c r="D614" s="25" t="s">
        <v>1324</v>
      </c>
      <c r="E614" s="25" t="str">
        <f t="shared" si="66"/>
        <v>Schoolwide</v>
      </c>
    </row>
    <row r="615" spans="1:5" x14ac:dyDescent="0.35">
      <c r="A615" s="29" t="s">
        <v>113</v>
      </c>
      <c r="B615" s="25" t="str">
        <f t="shared" si="68"/>
        <v>Walker County</v>
      </c>
      <c r="C615" s="25" t="s">
        <v>1325</v>
      </c>
      <c r="D615" s="25" t="s">
        <v>1326</v>
      </c>
      <c r="E615" s="25" t="str">
        <f t="shared" si="66"/>
        <v>Schoolwide</v>
      </c>
    </row>
    <row r="616" spans="1:5" x14ac:dyDescent="0.35">
      <c r="A616" s="29" t="s">
        <v>113</v>
      </c>
      <c r="B616" s="25" t="str">
        <f t="shared" si="68"/>
        <v>Walker County</v>
      </c>
      <c r="C616" s="25" t="s">
        <v>1327</v>
      </c>
      <c r="D616" s="25" t="s">
        <v>1328</v>
      </c>
      <c r="E616" s="25" t="str">
        <f t="shared" si="66"/>
        <v>Schoolwide</v>
      </c>
    </row>
    <row r="617" spans="1:5" x14ac:dyDescent="0.35">
      <c r="A617" s="29" t="s">
        <v>121</v>
      </c>
      <c r="B617" s="25" t="str">
        <f t="shared" ref="B617:B623" si="69">"Washington County"</f>
        <v>Washington County</v>
      </c>
      <c r="C617" s="25" t="s">
        <v>1329</v>
      </c>
      <c r="D617" s="25" t="s">
        <v>1330</v>
      </c>
      <c r="E617" s="25" t="str">
        <f t="shared" si="66"/>
        <v>Schoolwide</v>
      </c>
    </row>
    <row r="618" spans="1:5" x14ac:dyDescent="0.35">
      <c r="A618" s="29" t="s">
        <v>121</v>
      </c>
      <c r="B618" s="25" t="str">
        <f t="shared" si="69"/>
        <v>Washington County</v>
      </c>
      <c r="C618" s="25" t="s">
        <v>1331</v>
      </c>
      <c r="D618" s="25" t="s">
        <v>1332</v>
      </c>
      <c r="E618" s="25" t="str">
        <f t="shared" si="66"/>
        <v>Schoolwide</v>
      </c>
    </row>
    <row r="619" spans="1:5" x14ac:dyDescent="0.35">
      <c r="A619" s="29" t="s">
        <v>121</v>
      </c>
      <c r="B619" s="25" t="str">
        <f t="shared" si="69"/>
        <v>Washington County</v>
      </c>
      <c r="C619" s="25" t="s">
        <v>1333</v>
      </c>
      <c r="D619" s="25" t="s">
        <v>1334</v>
      </c>
      <c r="E619" s="25" t="str">
        <f t="shared" si="66"/>
        <v>Schoolwide</v>
      </c>
    </row>
    <row r="620" spans="1:5" x14ac:dyDescent="0.35">
      <c r="A620" s="29" t="s">
        <v>121</v>
      </c>
      <c r="B620" s="25" t="str">
        <f t="shared" si="69"/>
        <v>Washington County</v>
      </c>
      <c r="C620" s="25" t="s">
        <v>1335</v>
      </c>
      <c r="D620" s="25" t="s">
        <v>1336</v>
      </c>
      <c r="E620" s="25" t="str">
        <f t="shared" si="66"/>
        <v>Schoolwide</v>
      </c>
    </row>
    <row r="621" spans="1:5" x14ac:dyDescent="0.35">
      <c r="A621" s="29" t="s">
        <v>121</v>
      </c>
      <c r="B621" s="25" t="str">
        <f t="shared" si="69"/>
        <v>Washington County</v>
      </c>
      <c r="C621" s="25" t="s">
        <v>1337</v>
      </c>
      <c r="D621" s="25" t="s">
        <v>1338</v>
      </c>
      <c r="E621" s="25" t="str">
        <f t="shared" si="66"/>
        <v>Schoolwide</v>
      </c>
    </row>
    <row r="622" spans="1:5" x14ac:dyDescent="0.35">
      <c r="A622" s="29" t="s">
        <v>121</v>
      </c>
      <c r="B622" s="25" t="str">
        <f t="shared" si="69"/>
        <v>Washington County</v>
      </c>
      <c r="C622" s="25" t="s">
        <v>1339</v>
      </c>
      <c r="D622" s="25" t="s">
        <v>1340</v>
      </c>
      <c r="E622" s="25" t="str">
        <f t="shared" si="66"/>
        <v>Schoolwide</v>
      </c>
    </row>
    <row r="623" spans="1:5" x14ac:dyDescent="0.35">
      <c r="A623" s="29" t="s">
        <v>121</v>
      </c>
      <c r="B623" s="25" t="str">
        <f t="shared" si="69"/>
        <v>Washington County</v>
      </c>
      <c r="C623" s="25" t="s">
        <v>1341</v>
      </c>
      <c r="D623" s="25" t="s">
        <v>1342</v>
      </c>
      <c r="E623" s="25" t="str">
        <f t="shared" si="66"/>
        <v>Schoolwide</v>
      </c>
    </row>
    <row r="624" spans="1:5" x14ac:dyDescent="0.35">
      <c r="A624" s="29" t="s">
        <v>15</v>
      </c>
      <c r="B624" s="25" t="str">
        <f>"Wilcox County"</f>
        <v>Wilcox County</v>
      </c>
      <c r="C624" s="25" t="s">
        <v>1343</v>
      </c>
      <c r="D624" s="25" t="s">
        <v>1344</v>
      </c>
      <c r="E624" s="25" t="str">
        <f t="shared" si="66"/>
        <v>Schoolwide</v>
      </c>
    </row>
    <row r="625" spans="1:5" x14ac:dyDescent="0.35">
      <c r="A625" s="29" t="s">
        <v>15</v>
      </c>
      <c r="B625" s="25" t="str">
        <f>"Wilcox County"</f>
        <v>Wilcox County</v>
      </c>
      <c r="C625" s="25" t="s">
        <v>1345</v>
      </c>
      <c r="D625" s="25" t="s">
        <v>1346</v>
      </c>
      <c r="E625" s="25" t="str">
        <f t="shared" si="66"/>
        <v>Schoolwide</v>
      </c>
    </row>
    <row r="626" spans="1:5" x14ac:dyDescent="0.35">
      <c r="A626" s="29" t="s">
        <v>15</v>
      </c>
      <c r="B626" s="25" t="str">
        <f>"Wilcox County"</f>
        <v>Wilcox County</v>
      </c>
      <c r="C626" s="25" t="s">
        <v>1347</v>
      </c>
      <c r="D626" s="25" t="s">
        <v>1348</v>
      </c>
      <c r="E626" s="25" t="str">
        <f t="shared" si="66"/>
        <v>Schoolwide</v>
      </c>
    </row>
    <row r="627" spans="1:5" x14ac:dyDescent="0.35">
      <c r="A627" s="29" t="s">
        <v>15</v>
      </c>
      <c r="B627" s="25" t="str">
        <f>"Wilcox County"</f>
        <v>Wilcox County</v>
      </c>
      <c r="C627" s="25" t="s">
        <v>1349</v>
      </c>
      <c r="D627" s="25" t="s">
        <v>1350</v>
      </c>
      <c r="E627" s="25" t="str">
        <f t="shared" si="66"/>
        <v>Schoolwide</v>
      </c>
    </row>
    <row r="628" spans="1:5" x14ac:dyDescent="0.35">
      <c r="A628" s="29" t="s">
        <v>15</v>
      </c>
      <c r="B628" s="25" t="str">
        <f>"Wilcox County"</f>
        <v>Wilcox County</v>
      </c>
      <c r="C628" s="25" t="s">
        <v>1351</v>
      </c>
      <c r="D628" s="25" t="s">
        <v>1352</v>
      </c>
      <c r="E628" s="25" t="str">
        <f t="shared" si="66"/>
        <v>Schoolwide</v>
      </c>
    </row>
    <row r="629" spans="1:5" x14ac:dyDescent="0.35">
      <c r="A629" s="29" t="s">
        <v>165</v>
      </c>
      <c r="B629" s="25" t="str">
        <f>"Winston County"</f>
        <v>Winston County</v>
      </c>
      <c r="C629" s="25" t="s">
        <v>1353</v>
      </c>
      <c r="D629" s="25" t="s">
        <v>1354</v>
      </c>
      <c r="E629" s="25" t="str">
        <f t="shared" si="66"/>
        <v>Schoolwide</v>
      </c>
    </row>
    <row r="630" spans="1:5" x14ac:dyDescent="0.35">
      <c r="A630" s="29" t="s">
        <v>165</v>
      </c>
      <c r="B630" s="25" t="str">
        <f>"Winston County"</f>
        <v>Winston County</v>
      </c>
      <c r="C630" s="25" t="s">
        <v>1355</v>
      </c>
      <c r="D630" s="25" t="s">
        <v>1356</v>
      </c>
      <c r="E630" s="25" t="str">
        <f t="shared" si="66"/>
        <v>Schoolwide</v>
      </c>
    </row>
    <row r="631" spans="1:5" x14ac:dyDescent="0.35">
      <c r="A631" s="29" t="s">
        <v>165</v>
      </c>
      <c r="B631" s="25" t="str">
        <f>"Winston County"</f>
        <v>Winston County</v>
      </c>
      <c r="C631" s="25" t="s">
        <v>1357</v>
      </c>
      <c r="D631" s="25" t="s">
        <v>1358</v>
      </c>
      <c r="E631" s="25" t="str">
        <f t="shared" si="66"/>
        <v>Schoolwide</v>
      </c>
    </row>
    <row r="632" spans="1:5" x14ac:dyDescent="0.35">
      <c r="A632" s="29" t="s">
        <v>165</v>
      </c>
      <c r="B632" s="25" t="str">
        <f>"Winston County"</f>
        <v>Winston County</v>
      </c>
      <c r="C632" s="25" t="s">
        <v>1359</v>
      </c>
      <c r="D632" s="25" t="s">
        <v>1360</v>
      </c>
      <c r="E632" s="25" t="str">
        <f t="shared" si="66"/>
        <v>Schoolwide</v>
      </c>
    </row>
    <row r="633" spans="1:5" x14ac:dyDescent="0.35">
      <c r="A633" s="29" t="s">
        <v>165</v>
      </c>
      <c r="B633" s="25" t="str">
        <f>"Winston County"</f>
        <v>Winston County</v>
      </c>
      <c r="C633" s="25" t="s">
        <v>1361</v>
      </c>
      <c r="D633" s="25" t="s">
        <v>1362</v>
      </c>
      <c r="E633" s="25" t="str">
        <f t="shared" si="66"/>
        <v>Schoolwide</v>
      </c>
    </row>
    <row r="634" spans="1:5" x14ac:dyDescent="0.35">
      <c r="A634" s="28" t="s">
        <v>224</v>
      </c>
      <c r="B634" s="25" t="str">
        <f t="shared" ref="B634:B639" si="70">"Albertville City"</f>
        <v>Albertville City</v>
      </c>
      <c r="C634" s="25" t="s">
        <v>1363</v>
      </c>
      <c r="D634" s="25" t="s">
        <v>1364</v>
      </c>
      <c r="E634" s="25" t="str">
        <f t="shared" si="66"/>
        <v>Schoolwide</v>
      </c>
    </row>
    <row r="635" spans="1:5" x14ac:dyDescent="0.35">
      <c r="A635" s="28" t="s">
        <v>224</v>
      </c>
      <c r="B635" s="25" t="str">
        <f t="shared" si="70"/>
        <v>Albertville City</v>
      </c>
      <c r="C635" s="25" t="s">
        <v>1365</v>
      </c>
      <c r="D635" s="25" t="s">
        <v>1366</v>
      </c>
      <c r="E635" s="25" t="str">
        <f t="shared" si="66"/>
        <v>Schoolwide</v>
      </c>
    </row>
    <row r="636" spans="1:5" x14ac:dyDescent="0.35">
      <c r="A636" s="28" t="s">
        <v>224</v>
      </c>
      <c r="B636" s="25" t="str">
        <f t="shared" si="70"/>
        <v>Albertville City</v>
      </c>
      <c r="C636" s="25" t="s">
        <v>1367</v>
      </c>
      <c r="D636" s="25" t="s">
        <v>1368</v>
      </c>
      <c r="E636" s="25" t="str">
        <f t="shared" si="66"/>
        <v>Schoolwide</v>
      </c>
    </row>
    <row r="637" spans="1:5" x14ac:dyDescent="0.35">
      <c r="A637" s="28" t="s">
        <v>224</v>
      </c>
      <c r="B637" s="25" t="str">
        <f t="shared" si="70"/>
        <v>Albertville City</v>
      </c>
      <c r="C637" s="25" t="s">
        <v>1369</v>
      </c>
      <c r="D637" s="25" t="s">
        <v>1370</v>
      </c>
      <c r="E637" s="25" t="str">
        <f t="shared" si="66"/>
        <v>Schoolwide</v>
      </c>
    </row>
    <row r="638" spans="1:5" x14ac:dyDescent="0.35">
      <c r="A638" s="28" t="s">
        <v>224</v>
      </c>
      <c r="B638" s="25" t="str">
        <f t="shared" si="70"/>
        <v>Albertville City</v>
      </c>
      <c r="C638" s="25" t="s">
        <v>1371</v>
      </c>
      <c r="D638" s="25" t="s">
        <v>1372</v>
      </c>
      <c r="E638" s="25" t="str">
        <f t="shared" si="66"/>
        <v>Schoolwide</v>
      </c>
    </row>
    <row r="639" spans="1:5" x14ac:dyDescent="0.35">
      <c r="A639" s="28" t="s">
        <v>224</v>
      </c>
      <c r="B639" s="25" t="str">
        <f t="shared" si="70"/>
        <v>Albertville City</v>
      </c>
      <c r="C639" s="25" t="s">
        <v>1373</v>
      </c>
      <c r="D639" s="25" t="s">
        <v>1374</v>
      </c>
      <c r="E639" s="25" t="str">
        <f t="shared" si="66"/>
        <v>Schoolwide</v>
      </c>
    </row>
    <row r="640" spans="1:5" x14ac:dyDescent="0.35">
      <c r="A640" s="28" t="s">
        <v>89</v>
      </c>
      <c r="B640" s="25" t="str">
        <f>"Alexander City"</f>
        <v>Alexander City</v>
      </c>
      <c r="C640" s="25" t="s">
        <v>1375</v>
      </c>
      <c r="D640" s="25" t="s">
        <v>1376</v>
      </c>
      <c r="E640" s="25" t="str">
        <f t="shared" si="66"/>
        <v>Schoolwide</v>
      </c>
    </row>
    <row r="641" spans="1:5" x14ac:dyDescent="0.35">
      <c r="A641" s="28" t="s">
        <v>89</v>
      </c>
      <c r="B641" s="25" t="str">
        <f>"Alexander City"</f>
        <v>Alexander City</v>
      </c>
      <c r="C641" s="25" t="s">
        <v>1377</v>
      </c>
      <c r="D641" s="25" t="s">
        <v>1378</v>
      </c>
      <c r="E641" s="25" t="str">
        <f t="shared" si="66"/>
        <v>Schoolwide</v>
      </c>
    </row>
    <row r="642" spans="1:5" x14ac:dyDescent="0.35">
      <c r="A642" s="28" t="s">
        <v>89</v>
      </c>
      <c r="B642" s="25" t="str">
        <f>"Alexander City"</f>
        <v>Alexander City</v>
      </c>
      <c r="C642" s="25" t="s">
        <v>1379</v>
      </c>
      <c r="D642" s="25" t="s">
        <v>1380</v>
      </c>
      <c r="E642" s="25" t="str">
        <f t="shared" si="66"/>
        <v>Schoolwide</v>
      </c>
    </row>
    <row r="643" spans="1:5" x14ac:dyDescent="0.35">
      <c r="A643" s="28" t="s">
        <v>226</v>
      </c>
      <c r="B643" s="25" t="str">
        <f>"Alabaster City"</f>
        <v>Alabaster City</v>
      </c>
      <c r="C643" s="25" t="s">
        <v>1381</v>
      </c>
      <c r="D643" s="25" t="s">
        <v>1382</v>
      </c>
      <c r="E643" s="25" t="str">
        <f t="shared" si="66"/>
        <v>Schoolwide</v>
      </c>
    </row>
    <row r="644" spans="1:5" x14ac:dyDescent="0.35">
      <c r="A644" s="28" t="s">
        <v>226</v>
      </c>
      <c r="B644" s="25" t="str">
        <f>"Alabaster City"</f>
        <v>Alabaster City</v>
      </c>
      <c r="C644" s="25" t="s">
        <v>1383</v>
      </c>
      <c r="D644" s="25" t="s">
        <v>1384</v>
      </c>
      <c r="E644" s="25" t="str">
        <f t="shared" si="66"/>
        <v>Schoolwide</v>
      </c>
    </row>
    <row r="645" spans="1:5" x14ac:dyDescent="0.35">
      <c r="A645" s="28" t="s">
        <v>226</v>
      </c>
      <c r="B645" s="25" t="str">
        <f>"Alabaster City"</f>
        <v>Alabaster City</v>
      </c>
      <c r="C645" s="25" t="s">
        <v>1385</v>
      </c>
      <c r="D645" s="25" t="s">
        <v>1386</v>
      </c>
      <c r="E645" s="25" t="str">
        <f t="shared" si="66"/>
        <v>Schoolwide</v>
      </c>
    </row>
    <row r="646" spans="1:5" x14ac:dyDescent="0.35">
      <c r="A646" s="28" t="s">
        <v>149</v>
      </c>
      <c r="B646" s="25" t="str">
        <f>"Andalusia City"</f>
        <v>Andalusia City</v>
      </c>
      <c r="C646" s="25" t="s">
        <v>1387</v>
      </c>
      <c r="D646" s="25" t="s">
        <v>1388</v>
      </c>
      <c r="E646" s="25" t="str">
        <f t="shared" ref="E646:E666" si="71">"Schoolwide"</f>
        <v>Schoolwide</v>
      </c>
    </row>
    <row r="647" spans="1:5" x14ac:dyDescent="0.35">
      <c r="A647" s="28" t="s">
        <v>149</v>
      </c>
      <c r="B647" s="25" t="str">
        <f>"Andalusia City"</f>
        <v>Andalusia City</v>
      </c>
      <c r="C647" s="25" t="s">
        <v>1389</v>
      </c>
      <c r="D647" s="25" t="s">
        <v>1390</v>
      </c>
      <c r="E647" s="25" t="str">
        <f t="shared" si="71"/>
        <v>Schoolwide</v>
      </c>
    </row>
    <row r="648" spans="1:5" x14ac:dyDescent="0.35">
      <c r="A648" s="28" t="s">
        <v>149</v>
      </c>
      <c r="B648" s="25" t="str">
        <f>"Andalusia City"</f>
        <v>Andalusia City</v>
      </c>
      <c r="C648" s="25" t="s">
        <v>1391</v>
      </c>
      <c r="D648" s="25" t="s">
        <v>1392</v>
      </c>
      <c r="E648" s="25" t="str">
        <f t="shared" si="71"/>
        <v>Schoolwide</v>
      </c>
    </row>
    <row r="649" spans="1:5" x14ac:dyDescent="0.35">
      <c r="A649" s="28" t="s">
        <v>47</v>
      </c>
      <c r="B649" s="25" t="str">
        <f t="shared" ref="B649:B654" si="72">"Anniston City"</f>
        <v>Anniston City</v>
      </c>
      <c r="C649" s="25" t="s">
        <v>1393</v>
      </c>
      <c r="D649" s="25" t="s">
        <v>1394</v>
      </c>
      <c r="E649" s="25" t="str">
        <f t="shared" si="71"/>
        <v>Schoolwide</v>
      </c>
    </row>
    <row r="650" spans="1:5" x14ac:dyDescent="0.35">
      <c r="A650" s="28" t="s">
        <v>47</v>
      </c>
      <c r="B650" s="25" t="str">
        <f t="shared" si="72"/>
        <v>Anniston City</v>
      </c>
      <c r="C650" s="25" t="s">
        <v>1395</v>
      </c>
      <c r="D650" s="25" t="s">
        <v>1396</v>
      </c>
      <c r="E650" s="25" t="str">
        <f t="shared" si="71"/>
        <v>Schoolwide</v>
      </c>
    </row>
    <row r="651" spans="1:5" x14ac:dyDescent="0.35">
      <c r="A651" s="28" t="s">
        <v>47</v>
      </c>
      <c r="B651" s="25" t="str">
        <f t="shared" si="72"/>
        <v>Anniston City</v>
      </c>
      <c r="C651" s="25" t="s">
        <v>1397</v>
      </c>
      <c r="D651" s="25" t="s">
        <v>1398</v>
      </c>
      <c r="E651" s="25" t="str">
        <f t="shared" si="71"/>
        <v>Schoolwide</v>
      </c>
    </row>
    <row r="652" spans="1:5" x14ac:dyDescent="0.35">
      <c r="A652" s="28" t="s">
        <v>47</v>
      </c>
      <c r="B652" s="25" t="str">
        <f t="shared" si="72"/>
        <v>Anniston City</v>
      </c>
      <c r="C652" s="25" t="s">
        <v>1399</v>
      </c>
      <c r="D652" s="25" t="s">
        <v>1400</v>
      </c>
      <c r="E652" s="25" t="str">
        <f t="shared" si="71"/>
        <v>Schoolwide</v>
      </c>
    </row>
    <row r="653" spans="1:5" x14ac:dyDescent="0.35">
      <c r="A653" s="28" t="s">
        <v>47</v>
      </c>
      <c r="B653" s="25" t="str">
        <f t="shared" si="72"/>
        <v>Anniston City</v>
      </c>
      <c r="C653" s="25" t="s">
        <v>1401</v>
      </c>
      <c r="D653" s="25" t="s">
        <v>1402</v>
      </c>
      <c r="E653" s="25" t="str">
        <f t="shared" si="71"/>
        <v>Schoolwide</v>
      </c>
    </row>
    <row r="654" spans="1:5" x14ac:dyDescent="0.35">
      <c r="A654" s="28" t="s">
        <v>47</v>
      </c>
      <c r="B654" s="25" t="str">
        <f t="shared" si="72"/>
        <v>Anniston City</v>
      </c>
      <c r="C654" s="25" t="s">
        <v>1403</v>
      </c>
      <c r="D654" s="25" t="s">
        <v>1404</v>
      </c>
      <c r="E654" s="25" t="str">
        <f t="shared" si="71"/>
        <v>Schoolwide</v>
      </c>
    </row>
    <row r="655" spans="1:5" x14ac:dyDescent="0.35">
      <c r="A655" s="28" t="s">
        <v>228</v>
      </c>
      <c r="B655" s="25" t="str">
        <f>"Arab City"</f>
        <v>Arab City</v>
      </c>
      <c r="C655" s="25" t="s">
        <v>1405</v>
      </c>
      <c r="D655" s="25" t="s">
        <v>1406</v>
      </c>
      <c r="E655" s="25" t="str">
        <f t="shared" si="71"/>
        <v>Schoolwide</v>
      </c>
    </row>
    <row r="656" spans="1:5" x14ac:dyDescent="0.35">
      <c r="A656" s="28" t="s">
        <v>228</v>
      </c>
      <c r="B656" s="25" t="str">
        <f>"Arab City"</f>
        <v>Arab City</v>
      </c>
      <c r="C656" s="25" t="s">
        <v>1407</v>
      </c>
      <c r="D656" s="25" t="s">
        <v>1408</v>
      </c>
      <c r="E656" s="25" t="str">
        <f t="shared" si="71"/>
        <v>Schoolwide</v>
      </c>
    </row>
    <row r="657" spans="1:5" x14ac:dyDescent="0.35">
      <c r="A657" s="28" t="s">
        <v>230</v>
      </c>
      <c r="B657" s="25" t="str">
        <f>"Athens City"</f>
        <v>Athens City</v>
      </c>
      <c r="C657" s="25" t="s">
        <v>1409</v>
      </c>
      <c r="D657" s="25" t="s">
        <v>1410</v>
      </c>
      <c r="E657" s="25" t="str">
        <f t="shared" si="71"/>
        <v>Schoolwide</v>
      </c>
    </row>
    <row r="658" spans="1:5" x14ac:dyDescent="0.35">
      <c r="A658" s="28" t="s">
        <v>230</v>
      </c>
      <c r="B658" s="25" t="str">
        <f>"Athens City"</f>
        <v>Athens City</v>
      </c>
      <c r="C658" s="25" t="s">
        <v>1411</v>
      </c>
      <c r="D658" s="25" t="s">
        <v>1412</v>
      </c>
      <c r="E658" s="25" t="str">
        <f t="shared" si="71"/>
        <v>Schoolwide</v>
      </c>
    </row>
    <row r="659" spans="1:5" x14ac:dyDescent="0.35">
      <c r="A659" s="28" t="s">
        <v>230</v>
      </c>
      <c r="B659" s="25" t="str">
        <f>"Athens City"</f>
        <v>Athens City</v>
      </c>
      <c r="C659" s="25" t="s">
        <v>1413</v>
      </c>
      <c r="D659" s="25" t="s">
        <v>1414</v>
      </c>
      <c r="E659" s="25" t="str">
        <f t="shared" si="71"/>
        <v>Schoolwide</v>
      </c>
    </row>
    <row r="660" spans="1:5" x14ac:dyDescent="0.35">
      <c r="A660" s="28" t="s">
        <v>230</v>
      </c>
      <c r="B660" s="25" t="str">
        <f>"Athens City"</f>
        <v>Athens City</v>
      </c>
      <c r="C660" s="25" t="s">
        <v>1415</v>
      </c>
      <c r="D660" s="25" t="s">
        <v>1416</v>
      </c>
      <c r="E660" s="25" t="str">
        <f t="shared" si="71"/>
        <v>Schoolwide</v>
      </c>
    </row>
    <row r="661" spans="1:5" x14ac:dyDescent="0.35">
      <c r="A661" s="28" t="s">
        <v>71</v>
      </c>
      <c r="B661" s="25" t="str">
        <f>"Attalla City"</f>
        <v>Attalla City</v>
      </c>
      <c r="C661" s="25" t="s">
        <v>1417</v>
      </c>
      <c r="D661" s="25" t="s">
        <v>1418</v>
      </c>
      <c r="E661" s="25" t="str">
        <f t="shared" si="71"/>
        <v>Schoolwide</v>
      </c>
    </row>
    <row r="662" spans="1:5" x14ac:dyDescent="0.35">
      <c r="A662" s="28" t="s">
        <v>71</v>
      </c>
      <c r="B662" s="25" t="str">
        <f>"Attalla City"</f>
        <v>Attalla City</v>
      </c>
      <c r="C662" s="25" t="s">
        <v>1419</v>
      </c>
      <c r="D662" s="25" t="s">
        <v>1420</v>
      </c>
      <c r="E662" s="25" t="str">
        <f t="shared" si="71"/>
        <v>Schoolwide</v>
      </c>
    </row>
    <row r="663" spans="1:5" x14ac:dyDescent="0.35">
      <c r="A663" s="28" t="s">
        <v>232</v>
      </c>
      <c r="B663" s="25" t="str">
        <f t="shared" ref="B663:B671" si="73">"Auburn City"</f>
        <v>Auburn City</v>
      </c>
      <c r="C663" s="25" t="s">
        <v>1421</v>
      </c>
      <c r="D663" s="25" t="s">
        <v>1422</v>
      </c>
      <c r="E663" s="25" t="str">
        <f t="shared" si="71"/>
        <v>Schoolwide</v>
      </c>
    </row>
    <row r="664" spans="1:5" x14ac:dyDescent="0.35">
      <c r="A664" s="28" t="s">
        <v>232</v>
      </c>
      <c r="B664" s="25" t="str">
        <f t="shared" si="73"/>
        <v>Auburn City</v>
      </c>
      <c r="C664" s="25" t="s">
        <v>1423</v>
      </c>
      <c r="D664" s="25" t="s">
        <v>1424</v>
      </c>
      <c r="E664" s="25" t="str">
        <f t="shared" si="71"/>
        <v>Schoolwide</v>
      </c>
    </row>
    <row r="665" spans="1:5" x14ac:dyDescent="0.35">
      <c r="A665" s="28" t="s">
        <v>232</v>
      </c>
      <c r="B665" s="25" t="str">
        <f t="shared" si="73"/>
        <v>Auburn City</v>
      </c>
      <c r="C665" s="25" t="s">
        <v>1425</v>
      </c>
      <c r="D665" s="25" t="s">
        <v>1426</v>
      </c>
      <c r="E665" s="25" t="str">
        <f t="shared" si="71"/>
        <v>Schoolwide</v>
      </c>
    </row>
    <row r="666" spans="1:5" x14ac:dyDescent="0.35">
      <c r="A666" s="28" t="s">
        <v>232</v>
      </c>
      <c r="B666" s="25" t="str">
        <f t="shared" si="73"/>
        <v>Auburn City</v>
      </c>
      <c r="C666" s="25" t="s">
        <v>1427</v>
      </c>
      <c r="D666" s="25" t="s">
        <v>1428</v>
      </c>
      <c r="E666" s="25" t="str">
        <f t="shared" si="71"/>
        <v>Schoolwide</v>
      </c>
    </row>
    <row r="667" spans="1:5" x14ac:dyDescent="0.35">
      <c r="A667" s="28" t="s">
        <v>232</v>
      </c>
      <c r="B667" s="25" t="str">
        <f t="shared" si="73"/>
        <v>Auburn City</v>
      </c>
      <c r="C667" s="25" t="s">
        <v>1429</v>
      </c>
      <c r="D667" s="25" t="str">
        <f>"Ogletree Elementary School"</f>
        <v>Ogletree Elementary School</v>
      </c>
      <c r="E667" s="25" t="str">
        <f>"Targeted Assistance"</f>
        <v>Targeted Assistance</v>
      </c>
    </row>
    <row r="668" spans="1:5" x14ac:dyDescent="0.35">
      <c r="A668" s="28" t="s">
        <v>232</v>
      </c>
      <c r="B668" s="25" t="str">
        <f t="shared" si="73"/>
        <v>Auburn City</v>
      </c>
      <c r="C668" s="25" t="s">
        <v>1430</v>
      </c>
      <c r="D668" s="25" t="str">
        <f>"Wrights Mill Road Elementary School"</f>
        <v>Wrights Mill Road Elementary School</v>
      </c>
      <c r="E668" s="25" t="str">
        <f>"Targeted Assistance"</f>
        <v>Targeted Assistance</v>
      </c>
    </row>
    <row r="669" spans="1:5" x14ac:dyDescent="0.35">
      <c r="A669" s="28" t="s">
        <v>232</v>
      </c>
      <c r="B669" s="25" t="str">
        <f t="shared" si="73"/>
        <v>Auburn City</v>
      </c>
      <c r="C669" s="25" t="s">
        <v>1431</v>
      </c>
      <c r="D669" s="25" t="str">
        <f>"Richland Elementary School"</f>
        <v>Richland Elementary School</v>
      </c>
      <c r="E669" s="25" t="str">
        <f>"Targeted Assistance"</f>
        <v>Targeted Assistance</v>
      </c>
    </row>
    <row r="670" spans="1:5" x14ac:dyDescent="0.35">
      <c r="A670" s="28" t="s">
        <v>232</v>
      </c>
      <c r="B670" s="25" t="str">
        <f t="shared" si="73"/>
        <v>Auburn City</v>
      </c>
      <c r="C670" s="25" t="s">
        <v>1432</v>
      </c>
      <c r="D670" s="25" t="s">
        <v>1433</v>
      </c>
      <c r="E670" s="25" t="str">
        <f>"Schoolwide"</f>
        <v>Schoolwide</v>
      </c>
    </row>
    <row r="671" spans="1:5" x14ac:dyDescent="0.35">
      <c r="A671" s="28" t="s">
        <v>232</v>
      </c>
      <c r="B671" s="25" t="str">
        <f t="shared" si="73"/>
        <v>Auburn City</v>
      </c>
      <c r="C671" s="25" t="s">
        <v>1434</v>
      </c>
      <c r="D671" s="25" t="str">
        <f>"Creekside Elementary School"</f>
        <v>Creekside Elementary School</v>
      </c>
      <c r="E671" s="25" t="str">
        <f>"Targeted Assistance"</f>
        <v>Targeted Assistance</v>
      </c>
    </row>
    <row r="672" spans="1:5" x14ac:dyDescent="0.35">
      <c r="A672" s="28" t="s">
        <v>77</v>
      </c>
      <c r="B672" s="25" t="str">
        <f t="shared" ref="B672:B678" si="74">"Bessemer City"</f>
        <v>Bessemer City</v>
      </c>
      <c r="C672" s="25" t="s">
        <v>1435</v>
      </c>
      <c r="D672" s="25" t="s">
        <v>1436</v>
      </c>
      <c r="E672" s="25" t="str">
        <f t="shared" ref="E672:E735" si="75">"Schoolwide"</f>
        <v>Schoolwide</v>
      </c>
    </row>
    <row r="673" spans="1:5" x14ac:dyDescent="0.35">
      <c r="A673" s="28" t="s">
        <v>77</v>
      </c>
      <c r="B673" s="25" t="str">
        <f t="shared" si="74"/>
        <v>Bessemer City</v>
      </c>
      <c r="C673" s="25" t="s">
        <v>1437</v>
      </c>
      <c r="D673" s="25" t="s">
        <v>1438</v>
      </c>
      <c r="E673" s="25" t="str">
        <f t="shared" si="75"/>
        <v>Schoolwide</v>
      </c>
    </row>
    <row r="674" spans="1:5" x14ac:dyDescent="0.35">
      <c r="A674" s="28" t="s">
        <v>77</v>
      </c>
      <c r="B674" s="25" t="str">
        <f t="shared" si="74"/>
        <v>Bessemer City</v>
      </c>
      <c r="C674" s="25" t="s">
        <v>1439</v>
      </c>
      <c r="D674" s="25" t="s">
        <v>1440</v>
      </c>
      <c r="E674" s="25" t="str">
        <f t="shared" si="75"/>
        <v>Schoolwide</v>
      </c>
    </row>
    <row r="675" spans="1:5" x14ac:dyDescent="0.35">
      <c r="A675" s="28" t="s">
        <v>77</v>
      </c>
      <c r="B675" s="25" t="str">
        <f t="shared" si="74"/>
        <v>Bessemer City</v>
      </c>
      <c r="C675" s="25" t="s">
        <v>1441</v>
      </c>
      <c r="D675" s="25" t="s">
        <v>1442</v>
      </c>
      <c r="E675" s="25" t="str">
        <f t="shared" si="75"/>
        <v>Schoolwide</v>
      </c>
    </row>
    <row r="676" spans="1:5" x14ac:dyDescent="0.35">
      <c r="A676" s="28" t="s">
        <v>77</v>
      </c>
      <c r="B676" s="25" t="str">
        <f t="shared" si="74"/>
        <v>Bessemer City</v>
      </c>
      <c r="C676" s="25" t="s">
        <v>1443</v>
      </c>
      <c r="D676" s="25" t="s">
        <v>1444</v>
      </c>
      <c r="E676" s="25" t="str">
        <f t="shared" si="75"/>
        <v>Schoolwide</v>
      </c>
    </row>
    <row r="677" spans="1:5" x14ac:dyDescent="0.35">
      <c r="A677" s="28" t="s">
        <v>77</v>
      </c>
      <c r="B677" s="25" t="str">
        <f t="shared" si="74"/>
        <v>Bessemer City</v>
      </c>
      <c r="C677" s="25" t="s">
        <v>1445</v>
      </c>
      <c r="D677" s="25" t="s">
        <v>1446</v>
      </c>
      <c r="E677" s="25" t="str">
        <f t="shared" si="75"/>
        <v>Schoolwide</v>
      </c>
    </row>
    <row r="678" spans="1:5" x14ac:dyDescent="0.35">
      <c r="A678" s="28" t="s">
        <v>77</v>
      </c>
      <c r="B678" s="25" t="str">
        <f t="shared" si="74"/>
        <v>Bessemer City</v>
      </c>
      <c r="C678" s="25" t="s">
        <v>1447</v>
      </c>
      <c r="D678" s="25" t="s">
        <v>1448</v>
      </c>
      <c r="E678" s="25" t="str">
        <f t="shared" si="75"/>
        <v>Schoolwide</v>
      </c>
    </row>
    <row r="679" spans="1:5" x14ac:dyDescent="0.35">
      <c r="A679" s="28" t="s">
        <v>93</v>
      </c>
      <c r="B679" s="25" t="str">
        <f t="shared" ref="B679:B720" si="76">"Birmingham City"</f>
        <v>Birmingham City</v>
      </c>
      <c r="C679" s="25" t="s">
        <v>1449</v>
      </c>
      <c r="D679" s="25" t="s">
        <v>1450</v>
      </c>
      <c r="E679" s="25" t="str">
        <f t="shared" si="75"/>
        <v>Schoolwide</v>
      </c>
    </row>
    <row r="680" spans="1:5" x14ac:dyDescent="0.35">
      <c r="A680" s="28" t="s">
        <v>93</v>
      </c>
      <c r="B680" s="25" t="str">
        <f t="shared" si="76"/>
        <v>Birmingham City</v>
      </c>
      <c r="C680" s="25" t="s">
        <v>1451</v>
      </c>
      <c r="D680" s="25" t="s">
        <v>1452</v>
      </c>
      <c r="E680" s="25" t="str">
        <f t="shared" si="75"/>
        <v>Schoolwide</v>
      </c>
    </row>
    <row r="681" spans="1:5" x14ac:dyDescent="0.35">
      <c r="A681" s="28" t="s">
        <v>93</v>
      </c>
      <c r="B681" s="25" t="str">
        <f t="shared" si="76"/>
        <v>Birmingham City</v>
      </c>
      <c r="C681" s="25" t="s">
        <v>1453</v>
      </c>
      <c r="D681" s="25" t="s">
        <v>1454</v>
      </c>
      <c r="E681" s="25" t="str">
        <f t="shared" si="75"/>
        <v>Schoolwide</v>
      </c>
    </row>
    <row r="682" spans="1:5" x14ac:dyDescent="0.35">
      <c r="A682" s="28" t="s">
        <v>93</v>
      </c>
      <c r="B682" s="25" t="str">
        <f t="shared" si="76"/>
        <v>Birmingham City</v>
      </c>
      <c r="C682" s="25" t="s">
        <v>1455</v>
      </c>
      <c r="D682" s="25" t="s">
        <v>1456</v>
      </c>
      <c r="E682" s="25" t="str">
        <f t="shared" si="75"/>
        <v>Schoolwide</v>
      </c>
    </row>
    <row r="683" spans="1:5" x14ac:dyDescent="0.35">
      <c r="A683" s="28" t="s">
        <v>93</v>
      </c>
      <c r="B683" s="25" t="str">
        <f t="shared" si="76"/>
        <v>Birmingham City</v>
      </c>
      <c r="C683" s="25" t="s">
        <v>1457</v>
      </c>
      <c r="D683" s="25" t="s">
        <v>1458</v>
      </c>
      <c r="E683" s="25" t="str">
        <f t="shared" si="75"/>
        <v>Schoolwide</v>
      </c>
    </row>
    <row r="684" spans="1:5" x14ac:dyDescent="0.35">
      <c r="A684" s="28" t="s">
        <v>93</v>
      </c>
      <c r="B684" s="25" t="str">
        <f t="shared" si="76"/>
        <v>Birmingham City</v>
      </c>
      <c r="C684" s="25" t="s">
        <v>1459</v>
      </c>
      <c r="D684" s="25" t="s">
        <v>1460</v>
      </c>
      <c r="E684" s="25" t="str">
        <f t="shared" si="75"/>
        <v>Schoolwide</v>
      </c>
    </row>
    <row r="685" spans="1:5" x14ac:dyDescent="0.35">
      <c r="A685" s="28" t="s">
        <v>93</v>
      </c>
      <c r="B685" s="25" t="str">
        <f t="shared" si="76"/>
        <v>Birmingham City</v>
      </c>
      <c r="C685" s="25" t="s">
        <v>1461</v>
      </c>
      <c r="D685" s="25" t="s">
        <v>1462</v>
      </c>
      <c r="E685" s="25" t="str">
        <f t="shared" si="75"/>
        <v>Schoolwide</v>
      </c>
    </row>
    <row r="686" spans="1:5" x14ac:dyDescent="0.35">
      <c r="A686" s="28" t="s">
        <v>93</v>
      </c>
      <c r="B686" s="25" t="str">
        <f t="shared" si="76"/>
        <v>Birmingham City</v>
      </c>
      <c r="C686" s="25" t="s">
        <v>1463</v>
      </c>
      <c r="D686" s="25" t="s">
        <v>1464</v>
      </c>
      <c r="E686" s="25" t="str">
        <f t="shared" si="75"/>
        <v>Schoolwide</v>
      </c>
    </row>
    <row r="687" spans="1:5" x14ac:dyDescent="0.35">
      <c r="A687" s="28" t="s">
        <v>93</v>
      </c>
      <c r="B687" s="25" t="str">
        <f t="shared" si="76"/>
        <v>Birmingham City</v>
      </c>
      <c r="C687" s="25" t="s">
        <v>1465</v>
      </c>
      <c r="D687" s="25" t="s">
        <v>1466</v>
      </c>
      <c r="E687" s="25" t="str">
        <f t="shared" si="75"/>
        <v>Schoolwide</v>
      </c>
    </row>
    <row r="688" spans="1:5" x14ac:dyDescent="0.35">
      <c r="A688" s="28" t="s">
        <v>93</v>
      </c>
      <c r="B688" s="25" t="str">
        <f t="shared" si="76"/>
        <v>Birmingham City</v>
      </c>
      <c r="C688" s="25" t="s">
        <v>1467</v>
      </c>
      <c r="D688" s="25" t="s">
        <v>1468</v>
      </c>
      <c r="E688" s="25" t="str">
        <f t="shared" si="75"/>
        <v>Schoolwide</v>
      </c>
    </row>
    <row r="689" spans="1:5" x14ac:dyDescent="0.35">
      <c r="A689" s="28" t="s">
        <v>93</v>
      </c>
      <c r="B689" s="25" t="str">
        <f t="shared" si="76"/>
        <v>Birmingham City</v>
      </c>
      <c r="C689" s="25" t="s">
        <v>1469</v>
      </c>
      <c r="D689" s="25" t="s">
        <v>1470</v>
      </c>
      <c r="E689" s="25" t="str">
        <f t="shared" si="75"/>
        <v>Schoolwide</v>
      </c>
    </row>
    <row r="690" spans="1:5" x14ac:dyDescent="0.35">
      <c r="A690" s="28" t="s">
        <v>93</v>
      </c>
      <c r="B690" s="25" t="str">
        <f t="shared" si="76"/>
        <v>Birmingham City</v>
      </c>
      <c r="C690" s="25" t="s">
        <v>1471</v>
      </c>
      <c r="D690" s="25" t="s">
        <v>1472</v>
      </c>
      <c r="E690" s="25" t="str">
        <f t="shared" si="75"/>
        <v>Schoolwide</v>
      </c>
    </row>
    <row r="691" spans="1:5" x14ac:dyDescent="0.35">
      <c r="A691" s="28" t="s">
        <v>93</v>
      </c>
      <c r="B691" s="25" t="str">
        <f t="shared" si="76"/>
        <v>Birmingham City</v>
      </c>
      <c r="C691" s="25" t="s">
        <v>1473</v>
      </c>
      <c r="D691" s="25" t="s">
        <v>1474</v>
      </c>
      <c r="E691" s="25" t="str">
        <f t="shared" si="75"/>
        <v>Schoolwide</v>
      </c>
    </row>
    <row r="692" spans="1:5" x14ac:dyDescent="0.35">
      <c r="A692" s="28" t="s">
        <v>93</v>
      </c>
      <c r="B692" s="25" t="str">
        <f t="shared" si="76"/>
        <v>Birmingham City</v>
      </c>
      <c r="C692" s="25" t="s">
        <v>1475</v>
      </c>
      <c r="D692" s="25" t="s">
        <v>1476</v>
      </c>
      <c r="E692" s="25" t="str">
        <f t="shared" si="75"/>
        <v>Schoolwide</v>
      </c>
    </row>
    <row r="693" spans="1:5" x14ac:dyDescent="0.35">
      <c r="A693" s="28" t="s">
        <v>93</v>
      </c>
      <c r="B693" s="25" t="str">
        <f t="shared" si="76"/>
        <v>Birmingham City</v>
      </c>
      <c r="C693" s="25" t="s">
        <v>1477</v>
      </c>
      <c r="D693" s="25" t="s">
        <v>1478</v>
      </c>
      <c r="E693" s="25" t="str">
        <f t="shared" si="75"/>
        <v>Schoolwide</v>
      </c>
    </row>
    <row r="694" spans="1:5" x14ac:dyDescent="0.35">
      <c r="A694" s="28" t="s">
        <v>93</v>
      </c>
      <c r="B694" s="25" t="str">
        <f t="shared" si="76"/>
        <v>Birmingham City</v>
      </c>
      <c r="C694" s="25" t="s">
        <v>1479</v>
      </c>
      <c r="D694" s="25" t="s">
        <v>1480</v>
      </c>
      <c r="E694" s="25" t="str">
        <f t="shared" si="75"/>
        <v>Schoolwide</v>
      </c>
    </row>
    <row r="695" spans="1:5" x14ac:dyDescent="0.35">
      <c r="A695" s="28" t="s">
        <v>93</v>
      </c>
      <c r="B695" s="25" t="str">
        <f t="shared" si="76"/>
        <v>Birmingham City</v>
      </c>
      <c r="C695" s="25" t="s">
        <v>1481</v>
      </c>
      <c r="D695" s="25" t="s">
        <v>1482</v>
      </c>
      <c r="E695" s="25" t="str">
        <f t="shared" si="75"/>
        <v>Schoolwide</v>
      </c>
    </row>
    <row r="696" spans="1:5" x14ac:dyDescent="0.35">
      <c r="A696" s="28" t="s">
        <v>93</v>
      </c>
      <c r="B696" s="25" t="str">
        <f t="shared" si="76"/>
        <v>Birmingham City</v>
      </c>
      <c r="C696" s="25" t="s">
        <v>1483</v>
      </c>
      <c r="D696" s="25" t="s">
        <v>1484</v>
      </c>
      <c r="E696" s="25" t="str">
        <f t="shared" si="75"/>
        <v>Schoolwide</v>
      </c>
    </row>
    <row r="697" spans="1:5" x14ac:dyDescent="0.35">
      <c r="A697" s="28" t="s">
        <v>93</v>
      </c>
      <c r="B697" s="25" t="str">
        <f t="shared" si="76"/>
        <v>Birmingham City</v>
      </c>
      <c r="C697" s="25" t="s">
        <v>1485</v>
      </c>
      <c r="D697" s="25" t="s">
        <v>1486</v>
      </c>
      <c r="E697" s="25" t="str">
        <f t="shared" si="75"/>
        <v>Schoolwide</v>
      </c>
    </row>
    <row r="698" spans="1:5" x14ac:dyDescent="0.35">
      <c r="A698" s="28" t="s">
        <v>93</v>
      </c>
      <c r="B698" s="25" t="str">
        <f t="shared" si="76"/>
        <v>Birmingham City</v>
      </c>
      <c r="C698" s="25" t="s">
        <v>1487</v>
      </c>
      <c r="D698" s="25" t="s">
        <v>1488</v>
      </c>
      <c r="E698" s="25" t="str">
        <f t="shared" si="75"/>
        <v>Schoolwide</v>
      </c>
    </row>
    <row r="699" spans="1:5" x14ac:dyDescent="0.35">
      <c r="A699" s="28" t="s">
        <v>93</v>
      </c>
      <c r="B699" s="25" t="str">
        <f t="shared" si="76"/>
        <v>Birmingham City</v>
      </c>
      <c r="C699" s="25" t="s">
        <v>1489</v>
      </c>
      <c r="D699" s="25" t="s">
        <v>1490</v>
      </c>
      <c r="E699" s="25" t="str">
        <f t="shared" si="75"/>
        <v>Schoolwide</v>
      </c>
    </row>
    <row r="700" spans="1:5" x14ac:dyDescent="0.35">
      <c r="A700" s="28" t="s">
        <v>93</v>
      </c>
      <c r="B700" s="25" t="str">
        <f t="shared" si="76"/>
        <v>Birmingham City</v>
      </c>
      <c r="C700" s="25" t="s">
        <v>1491</v>
      </c>
      <c r="D700" s="25" t="s">
        <v>1492</v>
      </c>
      <c r="E700" s="25" t="str">
        <f t="shared" si="75"/>
        <v>Schoolwide</v>
      </c>
    </row>
    <row r="701" spans="1:5" x14ac:dyDescent="0.35">
      <c r="A701" s="28" t="s">
        <v>93</v>
      </c>
      <c r="B701" s="25" t="str">
        <f t="shared" si="76"/>
        <v>Birmingham City</v>
      </c>
      <c r="C701" s="25" t="s">
        <v>1493</v>
      </c>
      <c r="D701" s="25" t="s">
        <v>1494</v>
      </c>
      <c r="E701" s="25" t="str">
        <f t="shared" si="75"/>
        <v>Schoolwide</v>
      </c>
    </row>
    <row r="702" spans="1:5" x14ac:dyDescent="0.35">
      <c r="A702" s="28" t="s">
        <v>93</v>
      </c>
      <c r="B702" s="25" t="str">
        <f t="shared" si="76"/>
        <v>Birmingham City</v>
      </c>
      <c r="C702" s="25" t="s">
        <v>1495</v>
      </c>
      <c r="D702" s="25" t="s">
        <v>1496</v>
      </c>
      <c r="E702" s="25" t="str">
        <f t="shared" si="75"/>
        <v>Schoolwide</v>
      </c>
    </row>
    <row r="703" spans="1:5" x14ac:dyDescent="0.35">
      <c r="A703" s="28" t="s">
        <v>93</v>
      </c>
      <c r="B703" s="25" t="str">
        <f t="shared" si="76"/>
        <v>Birmingham City</v>
      </c>
      <c r="C703" s="25" t="s">
        <v>1497</v>
      </c>
      <c r="D703" s="25" t="s">
        <v>1498</v>
      </c>
      <c r="E703" s="25" t="str">
        <f t="shared" si="75"/>
        <v>Schoolwide</v>
      </c>
    </row>
    <row r="704" spans="1:5" x14ac:dyDescent="0.35">
      <c r="A704" s="28" t="s">
        <v>93</v>
      </c>
      <c r="B704" s="25" t="str">
        <f t="shared" si="76"/>
        <v>Birmingham City</v>
      </c>
      <c r="C704" s="25" t="s">
        <v>1499</v>
      </c>
      <c r="D704" s="25" t="s">
        <v>1500</v>
      </c>
      <c r="E704" s="25" t="str">
        <f t="shared" si="75"/>
        <v>Schoolwide</v>
      </c>
    </row>
    <row r="705" spans="1:5" x14ac:dyDescent="0.35">
      <c r="A705" s="28" t="s">
        <v>93</v>
      </c>
      <c r="B705" s="25" t="str">
        <f t="shared" si="76"/>
        <v>Birmingham City</v>
      </c>
      <c r="C705" s="25" t="s">
        <v>1501</v>
      </c>
      <c r="D705" s="25" t="s">
        <v>1502</v>
      </c>
      <c r="E705" s="25" t="str">
        <f t="shared" si="75"/>
        <v>Schoolwide</v>
      </c>
    </row>
    <row r="706" spans="1:5" x14ac:dyDescent="0.35">
      <c r="A706" s="28" t="s">
        <v>93</v>
      </c>
      <c r="B706" s="25" t="str">
        <f t="shared" si="76"/>
        <v>Birmingham City</v>
      </c>
      <c r="C706" s="25" t="s">
        <v>1503</v>
      </c>
      <c r="D706" s="25" t="s">
        <v>1504</v>
      </c>
      <c r="E706" s="25" t="str">
        <f t="shared" si="75"/>
        <v>Schoolwide</v>
      </c>
    </row>
    <row r="707" spans="1:5" x14ac:dyDescent="0.35">
      <c r="A707" s="28" t="s">
        <v>93</v>
      </c>
      <c r="B707" s="25" t="str">
        <f t="shared" si="76"/>
        <v>Birmingham City</v>
      </c>
      <c r="C707" s="25" t="s">
        <v>1505</v>
      </c>
      <c r="D707" s="25" t="s">
        <v>1506</v>
      </c>
      <c r="E707" s="25" t="str">
        <f t="shared" si="75"/>
        <v>Schoolwide</v>
      </c>
    </row>
    <row r="708" spans="1:5" x14ac:dyDescent="0.35">
      <c r="A708" s="28" t="s">
        <v>93</v>
      </c>
      <c r="B708" s="25" t="str">
        <f t="shared" si="76"/>
        <v>Birmingham City</v>
      </c>
      <c r="C708" s="25" t="s">
        <v>1507</v>
      </c>
      <c r="D708" s="25" t="s">
        <v>1508</v>
      </c>
      <c r="E708" s="25" t="str">
        <f t="shared" si="75"/>
        <v>Schoolwide</v>
      </c>
    </row>
    <row r="709" spans="1:5" x14ac:dyDescent="0.35">
      <c r="A709" s="28" t="s">
        <v>93</v>
      </c>
      <c r="B709" s="25" t="str">
        <f t="shared" si="76"/>
        <v>Birmingham City</v>
      </c>
      <c r="C709" s="25" t="s">
        <v>1509</v>
      </c>
      <c r="D709" s="25" t="s">
        <v>1510</v>
      </c>
      <c r="E709" s="25" t="str">
        <f t="shared" si="75"/>
        <v>Schoolwide</v>
      </c>
    </row>
    <row r="710" spans="1:5" x14ac:dyDescent="0.35">
      <c r="A710" s="28" t="s">
        <v>93</v>
      </c>
      <c r="B710" s="25" t="str">
        <f t="shared" si="76"/>
        <v>Birmingham City</v>
      </c>
      <c r="C710" s="25" t="s">
        <v>1511</v>
      </c>
      <c r="D710" s="25" t="s">
        <v>1512</v>
      </c>
      <c r="E710" s="25" t="str">
        <f t="shared" si="75"/>
        <v>Schoolwide</v>
      </c>
    </row>
    <row r="711" spans="1:5" x14ac:dyDescent="0.35">
      <c r="A711" s="28" t="s">
        <v>93</v>
      </c>
      <c r="B711" s="25" t="str">
        <f t="shared" si="76"/>
        <v>Birmingham City</v>
      </c>
      <c r="C711" s="25" t="s">
        <v>1513</v>
      </c>
      <c r="D711" s="25" t="s">
        <v>1514</v>
      </c>
      <c r="E711" s="25" t="str">
        <f t="shared" si="75"/>
        <v>Schoolwide</v>
      </c>
    </row>
    <row r="712" spans="1:5" x14ac:dyDescent="0.35">
      <c r="A712" s="28" t="s">
        <v>93</v>
      </c>
      <c r="B712" s="25" t="str">
        <f t="shared" si="76"/>
        <v>Birmingham City</v>
      </c>
      <c r="C712" s="25" t="s">
        <v>1515</v>
      </c>
      <c r="D712" s="25" t="s">
        <v>1516</v>
      </c>
      <c r="E712" s="25" t="str">
        <f t="shared" si="75"/>
        <v>Schoolwide</v>
      </c>
    </row>
    <row r="713" spans="1:5" x14ac:dyDescent="0.35">
      <c r="A713" s="28" t="s">
        <v>93</v>
      </c>
      <c r="B713" s="25" t="str">
        <f t="shared" si="76"/>
        <v>Birmingham City</v>
      </c>
      <c r="C713" s="25" t="s">
        <v>1517</v>
      </c>
      <c r="D713" s="25" t="s">
        <v>1518</v>
      </c>
      <c r="E713" s="25" t="str">
        <f t="shared" si="75"/>
        <v>Schoolwide</v>
      </c>
    </row>
    <row r="714" spans="1:5" x14ac:dyDescent="0.35">
      <c r="A714" s="28" t="s">
        <v>93</v>
      </c>
      <c r="B714" s="25" t="str">
        <f t="shared" si="76"/>
        <v>Birmingham City</v>
      </c>
      <c r="C714" s="25" t="s">
        <v>1519</v>
      </c>
      <c r="D714" s="25" t="s">
        <v>1520</v>
      </c>
      <c r="E714" s="25" t="str">
        <f t="shared" si="75"/>
        <v>Schoolwide</v>
      </c>
    </row>
    <row r="715" spans="1:5" x14ac:dyDescent="0.35">
      <c r="A715" s="28" t="s">
        <v>93</v>
      </c>
      <c r="B715" s="25" t="str">
        <f t="shared" si="76"/>
        <v>Birmingham City</v>
      </c>
      <c r="C715" s="25" t="s">
        <v>1521</v>
      </c>
      <c r="D715" s="25" t="s">
        <v>1522</v>
      </c>
      <c r="E715" s="25" t="str">
        <f t="shared" si="75"/>
        <v>Schoolwide</v>
      </c>
    </row>
    <row r="716" spans="1:5" x14ac:dyDescent="0.35">
      <c r="A716" s="28" t="s">
        <v>93</v>
      </c>
      <c r="B716" s="25" t="str">
        <f t="shared" si="76"/>
        <v>Birmingham City</v>
      </c>
      <c r="C716" s="25" t="s">
        <v>1523</v>
      </c>
      <c r="D716" s="25" t="s">
        <v>1524</v>
      </c>
      <c r="E716" s="25" t="str">
        <f t="shared" si="75"/>
        <v>Schoolwide</v>
      </c>
    </row>
    <row r="717" spans="1:5" x14ac:dyDescent="0.35">
      <c r="A717" s="28" t="s">
        <v>93</v>
      </c>
      <c r="B717" s="25" t="str">
        <f t="shared" si="76"/>
        <v>Birmingham City</v>
      </c>
      <c r="C717" s="25" t="s">
        <v>1525</v>
      </c>
      <c r="D717" s="25" t="s">
        <v>1526</v>
      </c>
      <c r="E717" s="25" t="str">
        <f t="shared" si="75"/>
        <v>Schoolwide</v>
      </c>
    </row>
    <row r="718" spans="1:5" x14ac:dyDescent="0.35">
      <c r="A718" s="28" t="s">
        <v>93</v>
      </c>
      <c r="B718" s="25" t="str">
        <f t="shared" si="76"/>
        <v>Birmingham City</v>
      </c>
      <c r="C718" s="25" t="s">
        <v>1527</v>
      </c>
      <c r="D718" s="25" t="s">
        <v>1528</v>
      </c>
      <c r="E718" s="25" t="str">
        <f t="shared" si="75"/>
        <v>Schoolwide</v>
      </c>
    </row>
    <row r="719" spans="1:5" x14ac:dyDescent="0.35">
      <c r="A719" s="28" t="s">
        <v>93</v>
      </c>
      <c r="B719" s="25" t="str">
        <f t="shared" si="76"/>
        <v>Birmingham City</v>
      </c>
      <c r="C719" s="25" t="s">
        <v>1529</v>
      </c>
      <c r="D719" s="25" t="s">
        <v>1530</v>
      </c>
      <c r="E719" s="25" t="str">
        <f t="shared" si="75"/>
        <v>Schoolwide</v>
      </c>
    </row>
    <row r="720" spans="1:5" x14ac:dyDescent="0.35">
      <c r="A720" s="28" t="s">
        <v>93</v>
      </c>
      <c r="B720" s="25" t="str">
        <f t="shared" si="76"/>
        <v>Birmingham City</v>
      </c>
      <c r="C720" s="25" t="s">
        <v>1531</v>
      </c>
      <c r="D720" s="25" t="s">
        <v>1532</v>
      </c>
      <c r="E720" s="25" t="str">
        <f t="shared" si="75"/>
        <v>Schoolwide</v>
      </c>
    </row>
    <row r="721" spans="1:5" x14ac:dyDescent="0.35">
      <c r="A721" s="28" t="s">
        <v>73</v>
      </c>
      <c r="B721" s="25" t="str">
        <f>"Boaz City"</f>
        <v>Boaz City</v>
      </c>
      <c r="C721" s="25" t="s">
        <v>1533</v>
      </c>
      <c r="D721" s="25" t="s">
        <v>1534</v>
      </c>
      <c r="E721" s="25" t="str">
        <f t="shared" si="75"/>
        <v>Schoolwide</v>
      </c>
    </row>
    <row r="722" spans="1:5" x14ac:dyDescent="0.35">
      <c r="A722" s="28" t="s">
        <v>73</v>
      </c>
      <c r="B722" s="25" t="str">
        <f>"Boaz City"</f>
        <v>Boaz City</v>
      </c>
      <c r="C722" s="25" t="s">
        <v>1535</v>
      </c>
      <c r="D722" s="25" t="s">
        <v>1536</v>
      </c>
      <c r="E722" s="25" t="str">
        <f t="shared" si="75"/>
        <v>Schoolwide</v>
      </c>
    </row>
    <row r="723" spans="1:5" x14ac:dyDescent="0.35">
      <c r="A723" s="28" t="s">
        <v>73</v>
      </c>
      <c r="B723" s="25" t="str">
        <f>"Boaz City"</f>
        <v>Boaz City</v>
      </c>
      <c r="C723" s="25" t="s">
        <v>1537</v>
      </c>
      <c r="D723" s="25" t="s">
        <v>1538</v>
      </c>
      <c r="E723" s="25" t="str">
        <f t="shared" si="75"/>
        <v>Schoolwide</v>
      </c>
    </row>
    <row r="724" spans="1:5" x14ac:dyDescent="0.35">
      <c r="A724" s="28" t="s">
        <v>73</v>
      </c>
      <c r="B724" s="25" t="str">
        <f>"Boaz City"</f>
        <v>Boaz City</v>
      </c>
      <c r="C724" s="25" t="s">
        <v>1539</v>
      </c>
      <c r="D724" s="25" t="s">
        <v>1540</v>
      </c>
      <c r="E724" s="25" t="str">
        <f t="shared" si="75"/>
        <v>Schoolwide</v>
      </c>
    </row>
    <row r="725" spans="1:5" x14ac:dyDescent="0.35">
      <c r="A725" s="28" t="s">
        <v>234</v>
      </c>
      <c r="B725" s="25" t="str">
        <f>"Brewton City"</f>
        <v>Brewton City</v>
      </c>
      <c r="C725" s="25" t="s">
        <v>1541</v>
      </c>
      <c r="D725" s="25" t="s">
        <v>1542</v>
      </c>
      <c r="E725" s="25" t="str">
        <f t="shared" si="75"/>
        <v>Schoolwide</v>
      </c>
    </row>
    <row r="726" spans="1:5" x14ac:dyDescent="0.35">
      <c r="A726" s="28" t="s">
        <v>234</v>
      </c>
      <c r="B726" s="25" t="str">
        <f>"Brewton City"</f>
        <v>Brewton City</v>
      </c>
      <c r="C726" s="25" t="s">
        <v>1543</v>
      </c>
      <c r="D726" s="25" t="s">
        <v>1544</v>
      </c>
      <c r="E726" s="25" t="str">
        <f t="shared" si="75"/>
        <v>Schoolwide</v>
      </c>
    </row>
    <row r="727" spans="1:5" x14ac:dyDescent="0.35">
      <c r="A727" s="28" t="s">
        <v>95</v>
      </c>
      <c r="B727" s="25" t="str">
        <f>"Chickasaw City"</f>
        <v>Chickasaw City</v>
      </c>
      <c r="C727" s="25" t="s">
        <v>1545</v>
      </c>
      <c r="D727" s="25" t="s">
        <v>1546</v>
      </c>
      <c r="E727" s="25" t="str">
        <f t="shared" si="75"/>
        <v>Schoolwide</v>
      </c>
    </row>
    <row r="728" spans="1:5" x14ac:dyDescent="0.35">
      <c r="A728" s="28" t="s">
        <v>95</v>
      </c>
      <c r="B728" s="25" t="str">
        <f>"Chickasaw City"</f>
        <v>Chickasaw City</v>
      </c>
      <c r="C728" s="25" t="s">
        <v>1547</v>
      </c>
      <c r="D728" s="25" t="s">
        <v>1548</v>
      </c>
      <c r="E728" s="25" t="str">
        <f t="shared" si="75"/>
        <v>Schoolwide</v>
      </c>
    </row>
    <row r="729" spans="1:5" x14ac:dyDescent="0.35">
      <c r="A729" s="28" t="s">
        <v>95</v>
      </c>
      <c r="B729" s="25" t="str">
        <f>"Chickasaw City"</f>
        <v>Chickasaw City</v>
      </c>
      <c r="C729" s="25" t="s">
        <v>1549</v>
      </c>
      <c r="D729" s="25" t="s">
        <v>1550</v>
      </c>
      <c r="E729" s="25" t="str">
        <f t="shared" si="75"/>
        <v>Schoolwide</v>
      </c>
    </row>
    <row r="730" spans="1:5" x14ac:dyDescent="0.35">
      <c r="A730" s="28" t="s">
        <v>236</v>
      </c>
      <c r="B730" s="25" t="str">
        <f>"Cullman City"</f>
        <v>Cullman City</v>
      </c>
      <c r="C730" s="25" t="s">
        <v>1551</v>
      </c>
      <c r="D730" s="25" t="s">
        <v>1552</v>
      </c>
      <c r="E730" s="25" t="str">
        <f t="shared" si="75"/>
        <v>Schoolwide</v>
      </c>
    </row>
    <row r="731" spans="1:5" x14ac:dyDescent="0.35">
      <c r="A731" s="28" t="s">
        <v>236</v>
      </c>
      <c r="B731" s="25" t="str">
        <f>"Cullman City"</f>
        <v>Cullman City</v>
      </c>
      <c r="C731" s="25" t="s">
        <v>1553</v>
      </c>
      <c r="D731" s="25" t="s">
        <v>1554</v>
      </c>
      <c r="E731" s="25" t="str">
        <f t="shared" si="75"/>
        <v>Schoolwide</v>
      </c>
    </row>
    <row r="732" spans="1:5" x14ac:dyDescent="0.35">
      <c r="A732" s="28" t="s">
        <v>51</v>
      </c>
      <c r="B732" s="25" t="str">
        <f>"Daleville City"</f>
        <v>Daleville City</v>
      </c>
      <c r="C732" s="25" t="s">
        <v>1555</v>
      </c>
      <c r="D732" s="25" t="s">
        <v>1556</v>
      </c>
      <c r="E732" s="25" t="str">
        <f t="shared" si="75"/>
        <v>Schoolwide</v>
      </c>
    </row>
    <row r="733" spans="1:5" x14ac:dyDescent="0.35">
      <c r="A733" s="28" t="s">
        <v>51</v>
      </c>
      <c r="B733" s="25" t="str">
        <f>"Daleville City"</f>
        <v>Daleville City</v>
      </c>
      <c r="C733" s="25" t="s">
        <v>1557</v>
      </c>
      <c r="D733" s="25" t="s">
        <v>1558</v>
      </c>
      <c r="E733" s="25" t="str">
        <f t="shared" si="75"/>
        <v>Schoolwide</v>
      </c>
    </row>
    <row r="734" spans="1:5" x14ac:dyDescent="0.35">
      <c r="A734" s="28" t="s">
        <v>51</v>
      </c>
      <c r="B734" s="25" t="str">
        <f>"Daleville City"</f>
        <v>Daleville City</v>
      </c>
      <c r="C734" s="25" t="s">
        <v>1559</v>
      </c>
      <c r="D734" s="25" t="s">
        <v>1560</v>
      </c>
      <c r="E734" s="25" t="str">
        <f t="shared" si="75"/>
        <v>Schoolwide</v>
      </c>
    </row>
    <row r="735" spans="1:5" x14ac:dyDescent="0.35">
      <c r="A735" s="28" t="s">
        <v>139</v>
      </c>
      <c r="B735" s="25" t="str">
        <f t="shared" ref="B735:B740" si="77">"Decatur City"</f>
        <v>Decatur City</v>
      </c>
      <c r="C735" s="25" t="s">
        <v>1561</v>
      </c>
      <c r="D735" s="25" t="s">
        <v>1562</v>
      </c>
      <c r="E735" s="25" t="str">
        <f t="shared" si="75"/>
        <v>Schoolwide</v>
      </c>
    </row>
    <row r="736" spans="1:5" x14ac:dyDescent="0.35">
      <c r="A736" s="28" t="s">
        <v>139</v>
      </c>
      <c r="B736" s="25" t="str">
        <f t="shared" si="77"/>
        <v>Decatur City</v>
      </c>
      <c r="C736" s="25" t="s">
        <v>1563</v>
      </c>
      <c r="D736" s="25" t="s">
        <v>1564</v>
      </c>
      <c r="E736" s="25" t="str">
        <f t="shared" ref="E736:E796" si="78">"Schoolwide"</f>
        <v>Schoolwide</v>
      </c>
    </row>
    <row r="737" spans="1:5" x14ac:dyDescent="0.35">
      <c r="A737" s="28" t="s">
        <v>139</v>
      </c>
      <c r="B737" s="25" t="str">
        <f t="shared" si="77"/>
        <v>Decatur City</v>
      </c>
      <c r="C737" s="25" t="s">
        <v>1565</v>
      </c>
      <c r="D737" s="25" t="s">
        <v>1566</v>
      </c>
      <c r="E737" s="25" t="str">
        <f t="shared" si="78"/>
        <v>Schoolwide</v>
      </c>
    </row>
    <row r="738" spans="1:5" x14ac:dyDescent="0.35">
      <c r="A738" s="28" t="s">
        <v>139</v>
      </c>
      <c r="B738" s="25" t="str">
        <f t="shared" si="77"/>
        <v>Decatur City</v>
      </c>
      <c r="C738" s="25" t="s">
        <v>1567</v>
      </c>
      <c r="D738" s="25" t="s">
        <v>1568</v>
      </c>
      <c r="E738" s="25" t="str">
        <f t="shared" si="78"/>
        <v>Schoolwide</v>
      </c>
    </row>
    <row r="739" spans="1:5" x14ac:dyDescent="0.35">
      <c r="A739" s="28" t="s">
        <v>139</v>
      </c>
      <c r="B739" s="25" t="str">
        <f t="shared" si="77"/>
        <v>Decatur City</v>
      </c>
      <c r="C739" s="25" t="s">
        <v>1569</v>
      </c>
      <c r="D739" s="25" t="s">
        <v>1570</v>
      </c>
      <c r="E739" s="25" t="str">
        <f t="shared" si="78"/>
        <v>Schoolwide</v>
      </c>
    </row>
    <row r="740" spans="1:5" x14ac:dyDescent="0.35">
      <c r="A740" s="28" t="s">
        <v>139</v>
      </c>
      <c r="B740" s="25" t="str">
        <f t="shared" si="77"/>
        <v>Decatur City</v>
      </c>
      <c r="C740" s="25" t="s">
        <v>1571</v>
      </c>
      <c r="D740" s="25" t="s">
        <v>1572</v>
      </c>
      <c r="E740" s="25" t="str">
        <f t="shared" si="78"/>
        <v>Schoolwide</v>
      </c>
    </row>
    <row r="741" spans="1:5" x14ac:dyDescent="0.35">
      <c r="A741" s="28" t="s">
        <v>141</v>
      </c>
      <c r="B741" s="25" t="str">
        <f>"Demopolis City"</f>
        <v>Demopolis City</v>
      </c>
      <c r="C741" s="25" t="s">
        <v>1573</v>
      </c>
      <c r="D741" s="25" t="s">
        <v>1574</v>
      </c>
      <c r="E741" s="25" t="str">
        <f t="shared" si="78"/>
        <v>Schoolwide</v>
      </c>
    </row>
    <row r="742" spans="1:5" x14ac:dyDescent="0.35">
      <c r="A742" s="28" t="s">
        <v>141</v>
      </c>
      <c r="B742" s="25" t="str">
        <f>"Demopolis City"</f>
        <v>Demopolis City</v>
      </c>
      <c r="C742" s="25" t="s">
        <v>1575</v>
      </c>
      <c r="D742" s="25" t="s">
        <v>1576</v>
      </c>
      <c r="E742" s="25" t="str">
        <f t="shared" si="78"/>
        <v>Schoolwide</v>
      </c>
    </row>
    <row r="743" spans="1:5" x14ac:dyDescent="0.35">
      <c r="A743" s="28" t="s">
        <v>141</v>
      </c>
      <c r="B743" s="25" t="str">
        <f>"Demopolis City"</f>
        <v>Demopolis City</v>
      </c>
      <c r="C743" s="25" t="s">
        <v>1577</v>
      </c>
      <c r="D743" s="25" t="s">
        <v>1578</v>
      </c>
      <c r="E743" s="25" t="str">
        <f t="shared" si="78"/>
        <v>Schoolwide</v>
      </c>
    </row>
    <row r="744" spans="1:5" x14ac:dyDescent="0.35">
      <c r="A744" s="28" t="s">
        <v>31</v>
      </c>
      <c r="B744" s="25" t="str">
        <f t="shared" ref="B744:B754" si="79">"Dothan City"</f>
        <v>Dothan City</v>
      </c>
      <c r="C744" s="25" t="s">
        <v>1579</v>
      </c>
      <c r="D744" s="25" t="s">
        <v>1580</v>
      </c>
      <c r="E744" s="25" t="str">
        <f t="shared" si="78"/>
        <v>Schoolwide</v>
      </c>
    </row>
    <row r="745" spans="1:5" x14ac:dyDescent="0.35">
      <c r="A745" s="28" t="s">
        <v>31</v>
      </c>
      <c r="B745" s="25" t="str">
        <f t="shared" si="79"/>
        <v>Dothan City</v>
      </c>
      <c r="C745" s="25" t="s">
        <v>1581</v>
      </c>
      <c r="D745" s="25" t="s">
        <v>1582</v>
      </c>
      <c r="E745" s="25" t="str">
        <f t="shared" si="78"/>
        <v>Schoolwide</v>
      </c>
    </row>
    <row r="746" spans="1:5" x14ac:dyDescent="0.35">
      <c r="A746" s="28" t="s">
        <v>31</v>
      </c>
      <c r="B746" s="25" t="str">
        <f t="shared" si="79"/>
        <v>Dothan City</v>
      </c>
      <c r="C746" s="25" t="s">
        <v>1583</v>
      </c>
      <c r="D746" s="25" t="s">
        <v>1584</v>
      </c>
      <c r="E746" s="25" t="str">
        <f t="shared" si="78"/>
        <v>Schoolwide</v>
      </c>
    </row>
    <row r="747" spans="1:5" x14ac:dyDescent="0.35">
      <c r="A747" s="28" t="s">
        <v>31</v>
      </c>
      <c r="B747" s="25" t="str">
        <f t="shared" si="79"/>
        <v>Dothan City</v>
      </c>
      <c r="C747" s="25" t="s">
        <v>1585</v>
      </c>
      <c r="D747" s="25" t="s">
        <v>1586</v>
      </c>
      <c r="E747" s="25" t="str">
        <f t="shared" si="78"/>
        <v>Schoolwide</v>
      </c>
    </row>
    <row r="748" spans="1:5" x14ac:dyDescent="0.35">
      <c r="A748" s="28" t="s">
        <v>31</v>
      </c>
      <c r="B748" s="25" t="str">
        <f t="shared" si="79"/>
        <v>Dothan City</v>
      </c>
      <c r="C748" s="25" t="s">
        <v>1587</v>
      </c>
      <c r="D748" s="25" t="s">
        <v>1588</v>
      </c>
      <c r="E748" s="25" t="str">
        <f t="shared" si="78"/>
        <v>Schoolwide</v>
      </c>
    </row>
    <row r="749" spans="1:5" x14ac:dyDescent="0.35">
      <c r="A749" s="28" t="s">
        <v>31</v>
      </c>
      <c r="B749" s="25" t="str">
        <f t="shared" si="79"/>
        <v>Dothan City</v>
      </c>
      <c r="C749" s="25" t="s">
        <v>1589</v>
      </c>
      <c r="D749" s="25" t="s">
        <v>1590</v>
      </c>
      <c r="E749" s="25" t="str">
        <f t="shared" si="78"/>
        <v>Schoolwide</v>
      </c>
    </row>
    <row r="750" spans="1:5" x14ac:dyDescent="0.35">
      <c r="A750" s="28" t="s">
        <v>31</v>
      </c>
      <c r="B750" s="25" t="str">
        <f t="shared" si="79"/>
        <v>Dothan City</v>
      </c>
      <c r="C750" s="25" t="s">
        <v>1591</v>
      </c>
      <c r="D750" s="25" t="s">
        <v>1592</v>
      </c>
      <c r="E750" s="25" t="str">
        <f t="shared" si="78"/>
        <v>Schoolwide</v>
      </c>
    </row>
    <row r="751" spans="1:5" x14ac:dyDescent="0.35">
      <c r="A751" s="28" t="s">
        <v>31</v>
      </c>
      <c r="B751" s="25" t="str">
        <f t="shared" si="79"/>
        <v>Dothan City</v>
      </c>
      <c r="C751" s="25" t="s">
        <v>1593</v>
      </c>
      <c r="D751" s="25" t="s">
        <v>1594</v>
      </c>
      <c r="E751" s="25" t="str">
        <f t="shared" si="78"/>
        <v>Schoolwide</v>
      </c>
    </row>
    <row r="752" spans="1:5" x14ac:dyDescent="0.35">
      <c r="A752" s="28" t="s">
        <v>31</v>
      </c>
      <c r="B752" s="25" t="str">
        <f t="shared" si="79"/>
        <v>Dothan City</v>
      </c>
      <c r="C752" s="25" t="s">
        <v>1595</v>
      </c>
      <c r="D752" s="25" t="s">
        <v>1596</v>
      </c>
      <c r="E752" s="25" t="str">
        <f t="shared" si="78"/>
        <v>Schoolwide</v>
      </c>
    </row>
    <row r="753" spans="1:5" x14ac:dyDescent="0.35">
      <c r="A753" s="28" t="s">
        <v>31</v>
      </c>
      <c r="B753" s="25" t="str">
        <f t="shared" si="79"/>
        <v>Dothan City</v>
      </c>
      <c r="C753" s="25" t="s">
        <v>1597</v>
      </c>
      <c r="D753" s="25" t="s">
        <v>1598</v>
      </c>
      <c r="E753" s="25" t="str">
        <f t="shared" si="78"/>
        <v>Schoolwide</v>
      </c>
    </row>
    <row r="754" spans="1:5" x14ac:dyDescent="0.35">
      <c r="A754" s="28" t="s">
        <v>31</v>
      </c>
      <c r="B754" s="25" t="str">
        <f t="shared" si="79"/>
        <v>Dothan City</v>
      </c>
      <c r="C754" s="25" t="s">
        <v>1599</v>
      </c>
      <c r="D754" s="25" t="s">
        <v>1600</v>
      </c>
      <c r="E754" s="25" t="str">
        <f t="shared" si="78"/>
        <v>Schoolwide</v>
      </c>
    </row>
    <row r="755" spans="1:5" x14ac:dyDescent="0.35">
      <c r="A755" s="28" t="s">
        <v>117</v>
      </c>
      <c r="B755" s="25" t="str">
        <f>"Elba City"</f>
        <v>Elba City</v>
      </c>
      <c r="C755" s="25" t="s">
        <v>1601</v>
      </c>
      <c r="D755" s="25" t="str">
        <f>"Elba Elementary School"</f>
        <v>Elba Elementary School</v>
      </c>
      <c r="E755" s="25" t="str">
        <f t="shared" si="78"/>
        <v>Schoolwide</v>
      </c>
    </row>
    <row r="756" spans="1:5" x14ac:dyDescent="0.35">
      <c r="A756" s="28" t="s">
        <v>117</v>
      </c>
      <c r="B756" s="25" t="str">
        <f>"Elba City"</f>
        <v>Elba City</v>
      </c>
      <c r="C756" s="25" t="s">
        <v>1602</v>
      </c>
      <c r="D756" s="25" t="str">
        <f>"Elba High School"</f>
        <v>Elba High School</v>
      </c>
      <c r="E756" s="25" t="str">
        <f t="shared" si="78"/>
        <v>Schoolwide</v>
      </c>
    </row>
    <row r="757" spans="1:5" x14ac:dyDescent="0.35">
      <c r="A757" s="28" t="s">
        <v>238</v>
      </c>
      <c r="B757" s="25" t="str">
        <f>"Enterprise City"</f>
        <v>Enterprise City</v>
      </c>
      <c r="C757" s="25" t="s">
        <v>1603</v>
      </c>
      <c r="D757" s="25" t="s">
        <v>1604</v>
      </c>
      <c r="E757" s="25" t="str">
        <f t="shared" si="78"/>
        <v>Schoolwide</v>
      </c>
    </row>
    <row r="758" spans="1:5" x14ac:dyDescent="0.35">
      <c r="A758" s="28" t="s">
        <v>238</v>
      </c>
      <c r="B758" s="25" t="str">
        <f>"Enterprise City"</f>
        <v>Enterprise City</v>
      </c>
      <c r="C758" s="25" t="s">
        <v>1605</v>
      </c>
      <c r="D758" s="25" t="s">
        <v>1606</v>
      </c>
      <c r="E758" s="25" t="str">
        <f t="shared" si="78"/>
        <v>Schoolwide</v>
      </c>
    </row>
    <row r="759" spans="1:5" x14ac:dyDescent="0.35">
      <c r="A759" s="28" t="s">
        <v>238</v>
      </c>
      <c r="B759" s="25" t="str">
        <f>"Enterprise City"</f>
        <v>Enterprise City</v>
      </c>
      <c r="C759" s="25" t="s">
        <v>1607</v>
      </c>
      <c r="D759" s="25" t="s">
        <v>1608</v>
      </c>
      <c r="E759" s="25" t="str">
        <f t="shared" si="78"/>
        <v>Schoolwide</v>
      </c>
    </row>
    <row r="760" spans="1:5" x14ac:dyDescent="0.35">
      <c r="A760" s="28" t="s">
        <v>238</v>
      </c>
      <c r="B760" s="25" t="str">
        <f>"Enterprise City"</f>
        <v>Enterprise City</v>
      </c>
      <c r="C760" s="25" t="s">
        <v>1609</v>
      </c>
      <c r="D760" s="25" t="s">
        <v>1610</v>
      </c>
      <c r="E760" s="25" t="str">
        <f t="shared" si="78"/>
        <v>Schoolwide</v>
      </c>
    </row>
    <row r="761" spans="1:5" x14ac:dyDescent="0.35">
      <c r="A761" s="28" t="s">
        <v>238</v>
      </c>
      <c r="B761" s="25" t="str">
        <f>"Enterprise City"</f>
        <v>Enterprise City</v>
      </c>
      <c r="C761" s="25" t="s">
        <v>1611</v>
      </c>
      <c r="D761" s="25" t="s">
        <v>1612</v>
      </c>
      <c r="E761" s="25" t="str">
        <f t="shared" si="78"/>
        <v>Schoolwide</v>
      </c>
    </row>
    <row r="762" spans="1:5" x14ac:dyDescent="0.35">
      <c r="A762" s="28" t="s">
        <v>240</v>
      </c>
      <c r="B762" s="25" t="str">
        <f>"Eufaula City"</f>
        <v>Eufaula City</v>
      </c>
      <c r="C762" s="25" t="s">
        <v>1613</v>
      </c>
      <c r="D762" s="25" t="s">
        <v>1614</v>
      </c>
      <c r="E762" s="25" t="str">
        <f t="shared" si="78"/>
        <v>Schoolwide</v>
      </c>
    </row>
    <row r="763" spans="1:5" x14ac:dyDescent="0.35">
      <c r="A763" s="28" t="s">
        <v>240</v>
      </c>
      <c r="B763" s="25" t="str">
        <f>"Eufaula City"</f>
        <v>Eufaula City</v>
      </c>
      <c r="C763" s="25" t="s">
        <v>1615</v>
      </c>
      <c r="D763" s="25" t="s">
        <v>1616</v>
      </c>
      <c r="E763" s="25" t="str">
        <f t="shared" si="78"/>
        <v>Schoolwide</v>
      </c>
    </row>
    <row r="764" spans="1:5" x14ac:dyDescent="0.35">
      <c r="A764" s="28" t="s">
        <v>240</v>
      </c>
      <c r="B764" s="25" t="str">
        <f>"Eufaula City"</f>
        <v>Eufaula City</v>
      </c>
      <c r="C764" s="25" t="s">
        <v>1617</v>
      </c>
      <c r="D764" s="25" t="s">
        <v>1618</v>
      </c>
      <c r="E764" s="25" t="str">
        <f t="shared" si="78"/>
        <v>Schoolwide</v>
      </c>
    </row>
    <row r="765" spans="1:5" x14ac:dyDescent="0.35">
      <c r="A765" s="28" t="s">
        <v>240</v>
      </c>
      <c r="B765" s="25" t="str">
        <f>"Eufaula City"</f>
        <v>Eufaula City</v>
      </c>
      <c r="C765" s="25" t="s">
        <v>1619</v>
      </c>
      <c r="D765" s="25" t="s">
        <v>1620</v>
      </c>
      <c r="E765" s="25" t="str">
        <f t="shared" si="78"/>
        <v>Schoolwide</v>
      </c>
    </row>
    <row r="766" spans="1:5" x14ac:dyDescent="0.35">
      <c r="A766" s="28" t="s">
        <v>37</v>
      </c>
      <c r="B766" s="25" t="str">
        <f>"Fairfield City"</f>
        <v>Fairfield City</v>
      </c>
      <c r="C766" s="25" t="s">
        <v>1621</v>
      </c>
      <c r="D766" s="25" t="s">
        <v>1622</v>
      </c>
      <c r="E766" s="25" t="str">
        <f t="shared" si="78"/>
        <v>Schoolwide</v>
      </c>
    </row>
    <row r="767" spans="1:5" x14ac:dyDescent="0.35">
      <c r="A767" s="28" t="s">
        <v>37</v>
      </c>
      <c r="B767" s="25" t="str">
        <f>"Fairfield City"</f>
        <v>Fairfield City</v>
      </c>
      <c r="C767" s="25" t="s">
        <v>1623</v>
      </c>
      <c r="D767" s="25" t="s">
        <v>1624</v>
      </c>
      <c r="E767" s="25" t="str">
        <f t="shared" si="78"/>
        <v>Schoolwide</v>
      </c>
    </row>
    <row r="768" spans="1:5" x14ac:dyDescent="0.35">
      <c r="A768" s="28" t="s">
        <v>37</v>
      </c>
      <c r="B768" s="25" t="str">
        <f>"Fairfield City"</f>
        <v>Fairfield City</v>
      </c>
      <c r="C768" s="25" t="s">
        <v>1625</v>
      </c>
      <c r="D768" s="25" t="s">
        <v>1626</v>
      </c>
      <c r="E768" s="25" t="str">
        <f t="shared" si="78"/>
        <v>Schoolwide</v>
      </c>
    </row>
    <row r="769" spans="1:5" x14ac:dyDescent="0.35">
      <c r="A769" s="28" t="s">
        <v>37</v>
      </c>
      <c r="B769" s="25" t="str">
        <f>"Fairfield City"</f>
        <v>Fairfield City</v>
      </c>
      <c r="C769" s="25" t="s">
        <v>1627</v>
      </c>
      <c r="D769" s="25" t="s">
        <v>1508</v>
      </c>
      <c r="E769" s="25" t="str">
        <f t="shared" si="78"/>
        <v>Schoolwide</v>
      </c>
    </row>
    <row r="770" spans="1:5" x14ac:dyDescent="0.35">
      <c r="A770" s="28" t="s">
        <v>242</v>
      </c>
      <c r="B770" s="25" t="str">
        <f>"Florence City"</f>
        <v>Florence City</v>
      </c>
      <c r="C770" s="25" t="s">
        <v>1628</v>
      </c>
      <c r="D770" s="25" t="s">
        <v>1629</v>
      </c>
      <c r="E770" s="25" t="str">
        <f t="shared" si="78"/>
        <v>Schoolwide</v>
      </c>
    </row>
    <row r="771" spans="1:5" x14ac:dyDescent="0.35">
      <c r="A771" s="28" t="s">
        <v>242</v>
      </c>
      <c r="B771" s="25" t="str">
        <f>"Florence City"</f>
        <v>Florence City</v>
      </c>
      <c r="C771" s="25" t="s">
        <v>1630</v>
      </c>
      <c r="D771" s="25" t="s">
        <v>1631</v>
      </c>
      <c r="E771" s="25" t="str">
        <f t="shared" si="78"/>
        <v>Schoolwide</v>
      </c>
    </row>
    <row r="772" spans="1:5" x14ac:dyDescent="0.35">
      <c r="A772" s="28" t="s">
        <v>242</v>
      </c>
      <c r="B772" s="25" t="str">
        <f>"Florence City"</f>
        <v>Florence City</v>
      </c>
      <c r="C772" s="25" t="s">
        <v>1632</v>
      </c>
      <c r="D772" s="25" t="s">
        <v>1633</v>
      </c>
      <c r="E772" s="25" t="str">
        <f t="shared" si="78"/>
        <v>Schoolwide</v>
      </c>
    </row>
    <row r="773" spans="1:5" x14ac:dyDescent="0.35">
      <c r="A773" s="28" t="s">
        <v>242</v>
      </c>
      <c r="B773" s="25" t="str">
        <f>"Florence City"</f>
        <v>Florence City</v>
      </c>
      <c r="C773" s="25" t="s">
        <v>1634</v>
      </c>
      <c r="D773" s="25" t="s">
        <v>1635</v>
      </c>
      <c r="E773" s="25" t="str">
        <f t="shared" si="78"/>
        <v>Schoolwide</v>
      </c>
    </row>
    <row r="774" spans="1:5" x14ac:dyDescent="0.35">
      <c r="A774" s="28" t="s">
        <v>99</v>
      </c>
      <c r="B774" s="25" t="str">
        <f>"Fort Payne City"</f>
        <v>Fort Payne City</v>
      </c>
      <c r="C774" s="25" t="s">
        <v>1636</v>
      </c>
      <c r="D774" s="25" t="s">
        <v>1637</v>
      </c>
      <c r="E774" s="25" t="str">
        <f t="shared" si="78"/>
        <v>Schoolwide</v>
      </c>
    </row>
    <row r="775" spans="1:5" x14ac:dyDescent="0.35">
      <c r="A775" s="28" t="s">
        <v>99</v>
      </c>
      <c r="B775" s="25" t="str">
        <f>"Fort Payne City"</f>
        <v>Fort Payne City</v>
      </c>
      <c r="C775" s="25" t="s">
        <v>1638</v>
      </c>
      <c r="D775" s="25" t="s">
        <v>1639</v>
      </c>
      <c r="E775" s="25" t="str">
        <f t="shared" si="78"/>
        <v>Schoolwide</v>
      </c>
    </row>
    <row r="776" spans="1:5" x14ac:dyDescent="0.35">
      <c r="A776" s="28" t="s">
        <v>99</v>
      </c>
      <c r="B776" s="25" t="str">
        <f>"Fort Payne City"</f>
        <v>Fort Payne City</v>
      </c>
      <c r="C776" s="25" t="s">
        <v>1640</v>
      </c>
      <c r="D776" s="25" t="s">
        <v>1641</v>
      </c>
      <c r="E776" s="25" t="str">
        <f t="shared" si="78"/>
        <v>Schoolwide</v>
      </c>
    </row>
    <row r="777" spans="1:5" x14ac:dyDescent="0.35">
      <c r="A777" s="28" t="s">
        <v>99</v>
      </c>
      <c r="B777" s="25" t="str">
        <f>"Fort Payne City"</f>
        <v>Fort Payne City</v>
      </c>
      <c r="C777" s="25" t="s">
        <v>1642</v>
      </c>
      <c r="D777" s="25" t="s">
        <v>1643</v>
      </c>
      <c r="E777" s="25" t="str">
        <f t="shared" si="78"/>
        <v>Schoolwide</v>
      </c>
    </row>
    <row r="778" spans="1:5" x14ac:dyDescent="0.35">
      <c r="A778" s="28" t="s">
        <v>33</v>
      </c>
      <c r="B778" s="25" t="str">
        <f t="shared" ref="B778:B785" si="80">"Gadsden City"</f>
        <v>Gadsden City</v>
      </c>
      <c r="C778" s="25" t="s">
        <v>1644</v>
      </c>
      <c r="D778" s="25" t="s">
        <v>1645</v>
      </c>
      <c r="E778" s="25" t="str">
        <f t="shared" si="78"/>
        <v>Schoolwide</v>
      </c>
    </row>
    <row r="779" spans="1:5" x14ac:dyDescent="0.35">
      <c r="A779" s="28" t="s">
        <v>33</v>
      </c>
      <c r="B779" s="25" t="str">
        <f t="shared" si="80"/>
        <v>Gadsden City</v>
      </c>
      <c r="C779" s="25" t="s">
        <v>1646</v>
      </c>
      <c r="D779" s="25" t="s">
        <v>1647</v>
      </c>
      <c r="E779" s="25" t="str">
        <f t="shared" si="78"/>
        <v>Schoolwide</v>
      </c>
    </row>
    <row r="780" spans="1:5" x14ac:dyDescent="0.35">
      <c r="A780" s="28" t="s">
        <v>33</v>
      </c>
      <c r="B780" s="25" t="str">
        <f t="shared" si="80"/>
        <v>Gadsden City</v>
      </c>
      <c r="C780" s="25" t="s">
        <v>1648</v>
      </c>
      <c r="D780" s="25" t="s">
        <v>1649</v>
      </c>
      <c r="E780" s="25" t="str">
        <f t="shared" si="78"/>
        <v>Schoolwide</v>
      </c>
    </row>
    <row r="781" spans="1:5" x14ac:dyDescent="0.35">
      <c r="A781" s="28" t="s">
        <v>33</v>
      </c>
      <c r="B781" s="25" t="str">
        <f t="shared" si="80"/>
        <v>Gadsden City</v>
      </c>
      <c r="C781" s="25" t="s">
        <v>1650</v>
      </c>
      <c r="D781" s="25" t="s">
        <v>1651</v>
      </c>
      <c r="E781" s="25" t="str">
        <f t="shared" si="78"/>
        <v>Schoolwide</v>
      </c>
    </row>
    <row r="782" spans="1:5" x14ac:dyDescent="0.35">
      <c r="A782" s="28" t="s">
        <v>33</v>
      </c>
      <c r="B782" s="25" t="str">
        <f t="shared" si="80"/>
        <v>Gadsden City</v>
      </c>
      <c r="C782" s="25" t="s">
        <v>1652</v>
      </c>
      <c r="D782" s="25" t="s">
        <v>1653</v>
      </c>
      <c r="E782" s="25" t="str">
        <f t="shared" si="78"/>
        <v>Schoolwide</v>
      </c>
    </row>
    <row r="783" spans="1:5" x14ac:dyDescent="0.35">
      <c r="A783" s="28" t="s">
        <v>33</v>
      </c>
      <c r="B783" s="25" t="str">
        <f t="shared" si="80"/>
        <v>Gadsden City</v>
      </c>
      <c r="C783" s="25" t="s">
        <v>1654</v>
      </c>
      <c r="D783" s="25" t="s">
        <v>1655</v>
      </c>
      <c r="E783" s="25" t="str">
        <f t="shared" si="78"/>
        <v>Schoolwide</v>
      </c>
    </row>
    <row r="784" spans="1:5" x14ac:dyDescent="0.35">
      <c r="A784" s="28" t="s">
        <v>33</v>
      </c>
      <c r="B784" s="25" t="str">
        <f t="shared" si="80"/>
        <v>Gadsden City</v>
      </c>
      <c r="C784" s="25" t="s">
        <v>1656</v>
      </c>
      <c r="D784" s="25" t="s">
        <v>1657</v>
      </c>
      <c r="E784" s="25" t="str">
        <f t="shared" si="78"/>
        <v>Schoolwide</v>
      </c>
    </row>
    <row r="785" spans="1:5" x14ac:dyDescent="0.35">
      <c r="A785" s="28" t="s">
        <v>33</v>
      </c>
      <c r="B785" s="25" t="str">
        <f t="shared" si="80"/>
        <v>Gadsden City</v>
      </c>
      <c r="C785" s="25" t="s">
        <v>1658</v>
      </c>
      <c r="D785" s="25" t="s">
        <v>1659</v>
      </c>
      <c r="E785" s="25" t="str">
        <f t="shared" si="78"/>
        <v>Schoolwide</v>
      </c>
    </row>
    <row r="786" spans="1:5" x14ac:dyDescent="0.35">
      <c r="A786" s="28" t="s">
        <v>244</v>
      </c>
      <c r="B786" s="25" t="str">
        <f>"Geneva City"</f>
        <v>Geneva City</v>
      </c>
      <c r="C786" s="25" t="s">
        <v>1660</v>
      </c>
      <c r="D786" s="25" t="s">
        <v>1661</v>
      </c>
      <c r="E786" s="25" t="str">
        <f t="shared" si="78"/>
        <v>Schoolwide</v>
      </c>
    </row>
    <row r="787" spans="1:5" x14ac:dyDescent="0.35">
      <c r="A787" s="28" t="s">
        <v>244</v>
      </c>
      <c r="B787" s="25" t="str">
        <f>"Geneva City"</f>
        <v>Geneva City</v>
      </c>
      <c r="C787" s="25" t="s">
        <v>1662</v>
      </c>
      <c r="D787" s="25" t="s">
        <v>1663</v>
      </c>
      <c r="E787" s="25" t="str">
        <f t="shared" si="78"/>
        <v>Schoolwide</v>
      </c>
    </row>
    <row r="788" spans="1:5" x14ac:dyDescent="0.35">
      <c r="A788" s="28" t="s">
        <v>246</v>
      </c>
      <c r="B788" s="25" t="str">
        <f>"Gulf Shores City"</f>
        <v>Gulf Shores City</v>
      </c>
      <c r="C788" s="25" t="s">
        <v>1664</v>
      </c>
      <c r="D788" s="25" t="s">
        <v>1665</v>
      </c>
      <c r="E788" s="25" t="str">
        <f t="shared" si="78"/>
        <v>Schoolwide</v>
      </c>
    </row>
    <row r="789" spans="1:5" x14ac:dyDescent="0.35">
      <c r="A789" s="28" t="s">
        <v>246</v>
      </c>
      <c r="B789" s="25" t="str">
        <f>"Gulf Shores City"</f>
        <v>Gulf Shores City</v>
      </c>
      <c r="C789" s="25" t="s">
        <v>1666</v>
      </c>
      <c r="D789" s="25" t="s">
        <v>1667</v>
      </c>
      <c r="E789" s="25" t="str">
        <f t="shared" si="78"/>
        <v>Schoolwide</v>
      </c>
    </row>
    <row r="790" spans="1:5" x14ac:dyDescent="0.35">
      <c r="A790" s="28" t="s">
        <v>248</v>
      </c>
      <c r="B790" s="25" t="str">
        <f>"Guntersville City"</f>
        <v>Guntersville City</v>
      </c>
      <c r="C790" s="25" t="s">
        <v>1668</v>
      </c>
      <c r="D790" s="25" t="s">
        <v>1669</v>
      </c>
      <c r="E790" s="25" t="str">
        <f t="shared" si="78"/>
        <v>Schoolwide</v>
      </c>
    </row>
    <row r="791" spans="1:5" x14ac:dyDescent="0.35">
      <c r="A791" s="28" t="s">
        <v>248</v>
      </c>
      <c r="B791" s="25" t="str">
        <f>"Guntersville City"</f>
        <v>Guntersville City</v>
      </c>
      <c r="C791" s="25" t="s">
        <v>1670</v>
      </c>
      <c r="D791" s="25" t="s">
        <v>1671</v>
      </c>
      <c r="E791" s="25" t="str">
        <f t="shared" si="78"/>
        <v>Schoolwide</v>
      </c>
    </row>
    <row r="792" spans="1:5" x14ac:dyDescent="0.35">
      <c r="A792" s="28" t="s">
        <v>248</v>
      </c>
      <c r="B792" s="25" t="str">
        <f>"Guntersville City"</f>
        <v>Guntersville City</v>
      </c>
      <c r="C792" s="25" t="s">
        <v>1672</v>
      </c>
      <c r="D792" s="25" t="s">
        <v>1673</v>
      </c>
      <c r="E792" s="25" t="str">
        <f t="shared" si="78"/>
        <v>Schoolwide</v>
      </c>
    </row>
    <row r="793" spans="1:5" x14ac:dyDescent="0.35">
      <c r="A793" s="28" t="s">
        <v>123</v>
      </c>
      <c r="B793" s="25" t="str">
        <f>"Haleyville City"</f>
        <v>Haleyville City</v>
      </c>
      <c r="C793" s="25" t="s">
        <v>1674</v>
      </c>
      <c r="D793" s="25" t="s">
        <v>1675</v>
      </c>
      <c r="E793" s="25" t="str">
        <f t="shared" si="78"/>
        <v>Schoolwide</v>
      </c>
    </row>
    <row r="794" spans="1:5" x14ac:dyDescent="0.35">
      <c r="A794" s="28" t="s">
        <v>123</v>
      </c>
      <c r="B794" s="25" t="str">
        <f>"Haleyville City"</f>
        <v>Haleyville City</v>
      </c>
      <c r="C794" s="25" t="s">
        <v>1676</v>
      </c>
      <c r="D794" s="25" t="s">
        <v>1677</v>
      </c>
      <c r="E794" s="25" t="str">
        <f t="shared" si="78"/>
        <v>Schoolwide</v>
      </c>
    </row>
    <row r="795" spans="1:5" x14ac:dyDescent="0.35">
      <c r="A795" s="28" t="s">
        <v>250</v>
      </c>
      <c r="B795" s="25" t="str">
        <f>"Hartselle City"</f>
        <v>Hartselle City</v>
      </c>
      <c r="C795" s="25" t="s">
        <v>1678</v>
      </c>
      <c r="D795" s="25" t="s">
        <v>1679</v>
      </c>
      <c r="E795" s="25" t="str">
        <f t="shared" si="78"/>
        <v>Schoolwide</v>
      </c>
    </row>
    <row r="796" spans="1:5" x14ac:dyDescent="0.35">
      <c r="A796" s="28" t="s">
        <v>250</v>
      </c>
      <c r="B796" s="25" t="str">
        <f>"Hartselle City"</f>
        <v>Hartselle City</v>
      </c>
      <c r="C796" s="25" t="s">
        <v>1680</v>
      </c>
      <c r="D796" s="25" t="s">
        <v>1681</v>
      </c>
      <c r="E796" s="25" t="str">
        <f t="shared" si="78"/>
        <v>Schoolwide</v>
      </c>
    </row>
    <row r="797" spans="1:5" x14ac:dyDescent="0.35">
      <c r="A797" s="28" t="s">
        <v>252</v>
      </c>
      <c r="B797" s="25" t="str">
        <f>"Homewood City"</f>
        <v>Homewood City</v>
      </c>
      <c r="C797" s="25" t="s">
        <v>1682</v>
      </c>
      <c r="D797" s="25" t="str">
        <f>"Hall Kent Elementary School"</f>
        <v>Hall Kent Elementary School</v>
      </c>
      <c r="E797" s="25" t="str">
        <f>"TA-SW Planning"</f>
        <v>TA-SW Planning</v>
      </c>
    </row>
    <row r="798" spans="1:5" x14ac:dyDescent="0.35">
      <c r="A798" s="28" t="s">
        <v>252</v>
      </c>
      <c r="B798" s="25" t="str">
        <f>"Homewood City"</f>
        <v>Homewood City</v>
      </c>
      <c r="C798" s="25" t="s">
        <v>1683</v>
      </c>
      <c r="D798" s="25" t="str">
        <f>"Homewood Middle School"</f>
        <v>Homewood Middle School</v>
      </c>
      <c r="E798" s="25" t="str">
        <f>"TA-SW Planning"</f>
        <v>TA-SW Planning</v>
      </c>
    </row>
    <row r="799" spans="1:5" x14ac:dyDescent="0.35">
      <c r="A799" s="28" t="s">
        <v>254</v>
      </c>
      <c r="B799" s="25" t="str">
        <f t="shared" ref="B799:B804" si="81">"Hoover City"</f>
        <v>Hoover City</v>
      </c>
      <c r="C799" s="25" t="s">
        <v>1684</v>
      </c>
      <c r="D799" s="25" t="str">
        <f>"Green Valley Elementary School"</f>
        <v>Green Valley Elementary School</v>
      </c>
      <c r="E799" s="25" t="str">
        <f t="shared" ref="E799:E804" si="82">"Targeted Assistance"</f>
        <v>Targeted Assistance</v>
      </c>
    </row>
    <row r="800" spans="1:5" x14ac:dyDescent="0.35">
      <c r="A800" s="28" t="s">
        <v>254</v>
      </c>
      <c r="B800" s="25" t="str">
        <f t="shared" si="81"/>
        <v>Hoover City</v>
      </c>
      <c r="C800" s="25" t="s">
        <v>1685</v>
      </c>
      <c r="D800" s="25" t="str">
        <f>"Gwin Elementary School"</f>
        <v>Gwin Elementary School</v>
      </c>
      <c r="E800" s="25" t="str">
        <f t="shared" si="82"/>
        <v>Targeted Assistance</v>
      </c>
    </row>
    <row r="801" spans="1:5" x14ac:dyDescent="0.35">
      <c r="A801" s="28" t="s">
        <v>254</v>
      </c>
      <c r="B801" s="25" t="str">
        <f t="shared" si="81"/>
        <v>Hoover City</v>
      </c>
      <c r="C801" s="25" t="s">
        <v>1686</v>
      </c>
      <c r="D801" s="25" t="str">
        <f>"Ira F Simmons Middle School"</f>
        <v>Ira F Simmons Middle School</v>
      </c>
      <c r="E801" s="25" t="str">
        <f t="shared" si="82"/>
        <v>Targeted Assistance</v>
      </c>
    </row>
    <row r="802" spans="1:5" x14ac:dyDescent="0.35">
      <c r="A802" s="28" t="s">
        <v>254</v>
      </c>
      <c r="B802" s="25" t="str">
        <f t="shared" si="81"/>
        <v>Hoover City</v>
      </c>
      <c r="C802" s="25" t="s">
        <v>1687</v>
      </c>
      <c r="D802" s="25" t="str">
        <f>"Rocky Ridge Elementary School"</f>
        <v>Rocky Ridge Elementary School</v>
      </c>
      <c r="E802" s="25" t="str">
        <f t="shared" si="82"/>
        <v>Targeted Assistance</v>
      </c>
    </row>
    <row r="803" spans="1:5" x14ac:dyDescent="0.35">
      <c r="A803" s="28" t="s">
        <v>254</v>
      </c>
      <c r="B803" s="25" t="str">
        <f t="shared" si="81"/>
        <v>Hoover City</v>
      </c>
      <c r="C803" s="25" t="s">
        <v>1688</v>
      </c>
      <c r="D803" s="25" t="str">
        <f>"Shades Mountain Elementary School"</f>
        <v>Shades Mountain Elementary School</v>
      </c>
      <c r="E803" s="25" t="str">
        <f t="shared" si="82"/>
        <v>Targeted Assistance</v>
      </c>
    </row>
    <row r="804" spans="1:5" x14ac:dyDescent="0.35">
      <c r="A804" s="28" t="s">
        <v>254</v>
      </c>
      <c r="B804" s="25" t="str">
        <f t="shared" si="81"/>
        <v>Hoover City</v>
      </c>
      <c r="C804" s="25" t="s">
        <v>1689</v>
      </c>
      <c r="D804" s="25" t="str">
        <f>"Trace Crossings Elementary School"</f>
        <v>Trace Crossings Elementary School</v>
      </c>
      <c r="E804" s="25" t="str">
        <f t="shared" si="82"/>
        <v>Targeted Assistance</v>
      </c>
    </row>
    <row r="805" spans="1:5" x14ac:dyDescent="0.35">
      <c r="A805" s="28" t="s">
        <v>256</v>
      </c>
      <c r="B805" s="25" t="str">
        <f t="shared" ref="B805:B821" si="83">"Huntsville City"</f>
        <v>Huntsville City</v>
      </c>
      <c r="C805" s="25" t="s">
        <v>1690</v>
      </c>
      <c r="D805" s="25" t="s">
        <v>1691</v>
      </c>
      <c r="E805" s="25" t="str">
        <f t="shared" ref="E805:E834" si="84">"Schoolwide"</f>
        <v>Schoolwide</v>
      </c>
    </row>
    <row r="806" spans="1:5" x14ac:dyDescent="0.35">
      <c r="A806" s="28" t="s">
        <v>256</v>
      </c>
      <c r="B806" s="25" t="str">
        <f t="shared" si="83"/>
        <v>Huntsville City</v>
      </c>
      <c r="C806" s="25" t="s">
        <v>1692</v>
      </c>
      <c r="D806" s="25" t="s">
        <v>1693</v>
      </c>
      <c r="E806" s="25" t="str">
        <f t="shared" si="84"/>
        <v>Schoolwide</v>
      </c>
    </row>
    <row r="807" spans="1:5" x14ac:dyDescent="0.35">
      <c r="A807" s="28" t="s">
        <v>256</v>
      </c>
      <c r="B807" s="25" t="str">
        <f t="shared" si="83"/>
        <v>Huntsville City</v>
      </c>
      <c r="C807" s="25" t="s">
        <v>1694</v>
      </c>
      <c r="D807" s="25" t="s">
        <v>1695</v>
      </c>
      <c r="E807" s="25" t="str">
        <f t="shared" si="84"/>
        <v>Schoolwide</v>
      </c>
    </row>
    <row r="808" spans="1:5" x14ac:dyDescent="0.35">
      <c r="A808" s="28" t="s">
        <v>256</v>
      </c>
      <c r="B808" s="25" t="str">
        <f t="shared" si="83"/>
        <v>Huntsville City</v>
      </c>
      <c r="C808" s="25" t="s">
        <v>1696</v>
      </c>
      <c r="D808" s="25" t="s">
        <v>1697</v>
      </c>
      <c r="E808" s="25" t="str">
        <f t="shared" si="84"/>
        <v>Schoolwide</v>
      </c>
    </row>
    <row r="809" spans="1:5" x14ac:dyDescent="0.35">
      <c r="A809" s="28" t="s">
        <v>256</v>
      </c>
      <c r="B809" s="25" t="str">
        <f t="shared" si="83"/>
        <v>Huntsville City</v>
      </c>
      <c r="C809" s="25" t="s">
        <v>1698</v>
      </c>
      <c r="D809" s="25" t="s">
        <v>1699</v>
      </c>
      <c r="E809" s="25" t="str">
        <f t="shared" si="84"/>
        <v>Schoolwide</v>
      </c>
    </row>
    <row r="810" spans="1:5" x14ac:dyDescent="0.35">
      <c r="A810" s="28" t="s">
        <v>256</v>
      </c>
      <c r="B810" s="25" t="str">
        <f t="shared" si="83"/>
        <v>Huntsville City</v>
      </c>
      <c r="C810" s="25" t="s">
        <v>1700</v>
      </c>
      <c r="D810" s="25" t="s">
        <v>1701</v>
      </c>
      <c r="E810" s="25" t="str">
        <f t="shared" si="84"/>
        <v>Schoolwide</v>
      </c>
    </row>
    <row r="811" spans="1:5" x14ac:dyDescent="0.35">
      <c r="A811" s="28" t="s">
        <v>256</v>
      </c>
      <c r="B811" s="25" t="str">
        <f t="shared" si="83"/>
        <v>Huntsville City</v>
      </c>
      <c r="C811" s="25" t="s">
        <v>1702</v>
      </c>
      <c r="D811" s="25" t="s">
        <v>1105</v>
      </c>
      <c r="E811" s="25" t="str">
        <f t="shared" si="84"/>
        <v>Schoolwide</v>
      </c>
    </row>
    <row r="812" spans="1:5" x14ac:dyDescent="0.35">
      <c r="A812" s="28" t="s">
        <v>256</v>
      </c>
      <c r="B812" s="25" t="str">
        <f t="shared" si="83"/>
        <v>Huntsville City</v>
      </c>
      <c r="C812" s="25" t="s">
        <v>1703</v>
      </c>
      <c r="D812" s="25" t="s">
        <v>1111</v>
      </c>
      <c r="E812" s="25" t="str">
        <f t="shared" si="84"/>
        <v>Schoolwide</v>
      </c>
    </row>
    <row r="813" spans="1:5" x14ac:dyDescent="0.35">
      <c r="A813" s="28" t="s">
        <v>256</v>
      </c>
      <c r="B813" s="25" t="str">
        <f t="shared" si="83"/>
        <v>Huntsville City</v>
      </c>
      <c r="C813" s="25" t="s">
        <v>1704</v>
      </c>
      <c r="D813" s="25" t="s">
        <v>1705</v>
      </c>
      <c r="E813" s="25" t="str">
        <f t="shared" si="84"/>
        <v>Schoolwide</v>
      </c>
    </row>
    <row r="814" spans="1:5" x14ac:dyDescent="0.35">
      <c r="A814" s="28" t="s">
        <v>256</v>
      </c>
      <c r="B814" s="25" t="str">
        <f t="shared" si="83"/>
        <v>Huntsville City</v>
      </c>
      <c r="C814" s="25" t="s">
        <v>1706</v>
      </c>
      <c r="D814" s="25" t="s">
        <v>1707</v>
      </c>
      <c r="E814" s="25" t="str">
        <f t="shared" si="84"/>
        <v>Schoolwide</v>
      </c>
    </row>
    <row r="815" spans="1:5" x14ac:dyDescent="0.35">
      <c r="A815" s="28" t="s">
        <v>256</v>
      </c>
      <c r="B815" s="25" t="str">
        <f t="shared" si="83"/>
        <v>Huntsville City</v>
      </c>
      <c r="C815" s="25" t="s">
        <v>1708</v>
      </c>
      <c r="D815" s="25" t="s">
        <v>1709</v>
      </c>
      <c r="E815" s="25" t="str">
        <f t="shared" si="84"/>
        <v>Schoolwide</v>
      </c>
    </row>
    <row r="816" spans="1:5" x14ac:dyDescent="0.35">
      <c r="A816" s="28" t="s">
        <v>256</v>
      </c>
      <c r="B816" s="25" t="str">
        <f t="shared" si="83"/>
        <v>Huntsville City</v>
      </c>
      <c r="C816" s="25" t="s">
        <v>1710</v>
      </c>
      <c r="D816" s="25" t="s">
        <v>1711</v>
      </c>
      <c r="E816" s="25" t="str">
        <f t="shared" si="84"/>
        <v>Schoolwide</v>
      </c>
    </row>
    <row r="817" spans="1:5" x14ac:dyDescent="0.35">
      <c r="A817" s="28" t="s">
        <v>256</v>
      </c>
      <c r="B817" s="25" t="str">
        <f t="shared" si="83"/>
        <v>Huntsville City</v>
      </c>
      <c r="C817" s="25" t="s">
        <v>1712</v>
      </c>
      <c r="D817" s="25" t="s">
        <v>1713</v>
      </c>
      <c r="E817" s="25" t="str">
        <f t="shared" si="84"/>
        <v>Schoolwide</v>
      </c>
    </row>
    <row r="818" spans="1:5" x14ac:dyDescent="0.35">
      <c r="A818" s="28" t="s">
        <v>256</v>
      </c>
      <c r="B818" s="25" t="str">
        <f t="shared" si="83"/>
        <v>Huntsville City</v>
      </c>
      <c r="C818" s="25" t="s">
        <v>1714</v>
      </c>
      <c r="D818" s="25" t="s">
        <v>1715</v>
      </c>
      <c r="E818" s="25" t="str">
        <f t="shared" si="84"/>
        <v>Schoolwide</v>
      </c>
    </row>
    <row r="819" spans="1:5" x14ac:dyDescent="0.35">
      <c r="A819" s="28" t="s">
        <v>256</v>
      </c>
      <c r="B819" s="25" t="str">
        <f t="shared" si="83"/>
        <v>Huntsville City</v>
      </c>
      <c r="C819" s="25" t="s">
        <v>1716</v>
      </c>
      <c r="D819" s="25" t="s">
        <v>1717</v>
      </c>
      <c r="E819" s="25" t="str">
        <f t="shared" si="84"/>
        <v>Schoolwide</v>
      </c>
    </row>
    <row r="820" spans="1:5" x14ac:dyDescent="0.35">
      <c r="A820" s="28" t="s">
        <v>256</v>
      </c>
      <c r="B820" s="25" t="str">
        <f t="shared" si="83"/>
        <v>Huntsville City</v>
      </c>
      <c r="C820" s="25" t="s">
        <v>1718</v>
      </c>
      <c r="D820" s="25" t="s">
        <v>1719</v>
      </c>
      <c r="E820" s="25" t="str">
        <f t="shared" si="84"/>
        <v>Schoolwide</v>
      </c>
    </row>
    <row r="821" spans="1:5" x14ac:dyDescent="0.35">
      <c r="A821" s="28" t="s">
        <v>256</v>
      </c>
      <c r="B821" s="25" t="str">
        <f t="shared" si="83"/>
        <v>Huntsville City</v>
      </c>
      <c r="C821" s="25" t="s">
        <v>1720</v>
      </c>
      <c r="D821" s="25" t="s">
        <v>1721</v>
      </c>
      <c r="E821" s="25" t="str">
        <f t="shared" si="84"/>
        <v>Schoolwide</v>
      </c>
    </row>
    <row r="822" spans="1:5" x14ac:dyDescent="0.35">
      <c r="A822" s="28" t="s">
        <v>258</v>
      </c>
      <c r="B822" s="25" t="str">
        <f>"Jacksonville City"</f>
        <v>Jacksonville City</v>
      </c>
      <c r="C822" s="25" t="s">
        <v>1722</v>
      </c>
      <c r="D822" s="25" t="s">
        <v>1723</v>
      </c>
      <c r="E822" s="25" t="str">
        <f t="shared" si="84"/>
        <v>Schoolwide</v>
      </c>
    </row>
    <row r="823" spans="1:5" x14ac:dyDescent="0.35">
      <c r="A823" s="28" t="s">
        <v>260</v>
      </c>
      <c r="B823" s="25" t="str">
        <f>"Jasper City"</f>
        <v>Jasper City</v>
      </c>
      <c r="C823" s="25" t="s">
        <v>1724</v>
      </c>
      <c r="D823" s="25" t="s">
        <v>1725</v>
      </c>
      <c r="E823" s="25" t="str">
        <f t="shared" si="84"/>
        <v>Schoolwide</v>
      </c>
    </row>
    <row r="824" spans="1:5" x14ac:dyDescent="0.35">
      <c r="A824" s="28" t="s">
        <v>260</v>
      </c>
      <c r="B824" s="25" t="str">
        <f>"Jasper City"</f>
        <v>Jasper City</v>
      </c>
      <c r="C824" s="25" t="s">
        <v>1726</v>
      </c>
      <c r="D824" s="25" t="s">
        <v>1727</v>
      </c>
      <c r="E824" s="25" t="str">
        <f t="shared" si="84"/>
        <v>Schoolwide</v>
      </c>
    </row>
    <row r="825" spans="1:5" x14ac:dyDescent="0.35">
      <c r="A825" s="28" t="s">
        <v>260</v>
      </c>
      <c r="B825" s="25" t="str">
        <f>"Jasper City"</f>
        <v>Jasper City</v>
      </c>
      <c r="C825" s="25" t="s">
        <v>1728</v>
      </c>
      <c r="D825" s="25" t="s">
        <v>1729</v>
      </c>
      <c r="E825" s="25" t="str">
        <f t="shared" si="84"/>
        <v>Schoolwide</v>
      </c>
    </row>
    <row r="826" spans="1:5" x14ac:dyDescent="0.35">
      <c r="A826" s="28" t="s">
        <v>7</v>
      </c>
      <c r="B826" s="25" t="str">
        <f>"Lanett City"</f>
        <v>Lanett City</v>
      </c>
      <c r="C826" s="25" t="s">
        <v>1730</v>
      </c>
      <c r="D826" s="25" t="s">
        <v>1731</v>
      </c>
      <c r="E826" s="25" t="str">
        <f t="shared" si="84"/>
        <v>Schoolwide</v>
      </c>
    </row>
    <row r="827" spans="1:5" x14ac:dyDescent="0.35">
      <c r="A827" s="28" t="s">
        <v>7</v>
      </c>
      <c r="B827" s="25" t="str">
        <f>"Lanett City"</f>
        <v>Lanett City</v>
      </c>
      <c r="C827" s="25" t="s">
        <v>1732</v>
      </c>
      <c r="D827" s="25" t="s">
        <v>1733</v>
      </c>
      <c r="E827" s="25" t="str">
        <f t="shared" si="84"/>
        <v>Schoolwide</v>
      </c>
    </row>
    <row r="828" spans="1:5" x14ac:dyDescent="0.35">
      <c r="A828" s="28" t="s">
        <v>7</v>
      </c>
      <c r="B828" s="25" t="str">
        <f>"Lanett City"</f>
        <v>Lanett City</v>
      </c>
      <c r="C828" s="25" t="s">
        <v>1734</v>
      </c>
      <c r="D828" s="25" t="s">
        <v>1735</v>
      </c>
      <c r="E828" s="25" t="str">
        <f t="shared" si="84"/>
        <v>Schoolwide</v>
      </c>
    </row>
    <row r="829" spans="1:5" x14ac:dyDescent="0.35">
      <c r="A829" s="28" t="s">
        <v>262</v>
      </c>
      <c r="B829" s="25" t="str">
        <f>"Leeds City"</f>
        <v>Leeds City</v>
      </c>
      <c r="C829" s="25" t="s">
        <v>1736</v>
      </c>
      <c r="D829" s="25" t="s">
        <v>1737</v>
      </c>
      <c r="E829" s="25" t="str">
        <f t="shared" si="84"/>
        <v>Schoolwide</v>
      </c>
    </row>
    <row r="830" spans="1:5" x14ac:dyDescent="0.35">
      <c r="A830" s="28" t="s">
        <v>262</v>
      </c>
      <c r="B830" s="25" t="str">
        <f>"Leeds City"</f>
        <v>Leeds City</v>
      </c>
      <c r="C830" s="25" t="s">
        <v>1738</v>
      </c>
      <c r="D830" s="25" t="s">
        <v>1739</v>
      </c>
      <c r="E830" s="25" t="str">
        <f t="shared" si="84"/>
        <v>Schoolwide</v>
      </c>
    </row>
    <row r="831" spans="1:5" x14ac:dyDescent="0.35">
      <c r="A831" s="28" t="s">
        <v>262</v>
      </c>
      <c r="B831" s="25" t="str">
        <f>"Leeds City"</f>
        <v>Leeds City</v>
      </c>
      <c r="C831" s="25" t="s">
        <v>1740</v>
      </c>
      <c r="D831" s="25" t="s">
        <v>1741</v>
      </c>
      <c r="E831" s="25" t="str">
        <f t="shared" si="84"/>
        <v>Schoolwide</v>
      </c>
    </row>
    <row r="832" spans="1:5" x14ac:dyDescent="0.35">
      <c r="A832" s="28" t="s">
        <v>81</v>
      </c>
      <c r="B832" s="25" t="str">
        <f>"Linden City"</f>
        <v>Linden City</v>
      </c>
      <c r="C832" s="25" t="s">
        <v>1742</v>
      </c>
      <c r="D832" s="25" t="s">
        <v>1743</v>
      </c>
      <c r="E832" s="25" t="str">
        <f t="shared" si="84"/>
        <v>Schoolwide</v>
      </c>
    </row>
    <row r="833" spans="1:5" x14ac:dyDescent="0.35">
      <c r="A833" s="28" t="s">
        <v>81</v>
      </c>
      <c r="B833" s="25" t="str">
        <f>"Linden City"</f>
        <v>Linden City</v>
      </c>
      <c r="C833" s="25" t="s">
        <v>1744</v>
      </c>
      <c r="D833" s="25" t="s">
        <v>1745</v>
      </c>
      <c r="E833" s="25" t="str">
        <f t="shared" si="84"/>
        <v>Schoolwide</v>
      </c>
    </row>
    <row r="834" spans="1:5" x14ac:dyDescent="0.35">
      <c r="A834" s="28" t="s">
        <v>81</v>
      </c>
      <c r="B834" s="25" t="str">
        <f>"Linden City"</f>
        <v>Linden City</v>
      </c>
      <c r="C834" s="25" t="s">
        <v>1746</v>
      </c>
      <c r="D834" s="25" t="s">
        <v>1747</v>
      </c>
      <c r="E834" s="25" t="str">
        <f t="shared" si="84"/>
        <v>Schoolwide</v>
      </c>
    </row>
    <row r="835" spans="1:5" x14ac:dyDescent="0.35">
      <c r="A835" s="28" t="s">
        <v>264</v>
      </c>
      <c r="B835" s="25" t="str">
        <f>"Madison City"</f>
        <v>Madison City</v>
      </c>
      <c r="C835" s="25" t="s">
        <v>1748</v>
      </c>
      <c r="D835" s="25" t="str">
        <f>"Columbia Elementary School"</f>
        <v>Columbia Elementary School</v>
      </c>
      <c r="E835" s="25" t="str">
        <f>"Targeted Assistance"</f>
        <v>Targeted Assistance</v>
      </c>
    </row>
    <row r="836" spans="1:5" x14ac:dyDescent="0.35">
      <c r="A836" s="28" t="s">
        <v>264</v>
      </c>
      <c r="B836" s="25" t="str">
        <f>"Madison City"</f>
        <v>Madison City</v>
      </c>
      <c r="C836" s="25" t="s">
        <v>1749</v>
      </c>
      <c r="D836" s="25" t="str">
        <f>"Horizon Elementary School"</f>
        <v>Horizon Elementary School</v>
      </c>
      <c r="E836" s="25" t="str">
        <f>"Targeted Assistance"</f>
        <v>Targeted Assistance</v>
      </c>
    </row>
    <row r="837" spans="1:5" x14ac:dyDescent="0.35">
      <c r="A837" s="28" t="s">
        <v>264</v>
      </c>
      <c r="B837" s="25" t="str">
        <f>"Madison City"</f>
        <v>Madison City</v>
      </c>
      <c r="C837" s="25" t="s">
        <v>1750</v>
      </c>
      <c r="D837" s="25" t="str">
        <f>"Madison Elementary School"</f>
        <v>Madison Elementary School</v>
      </c>
      <c r="E837" s="25" t="str">
        <f>"Targeted Assistance"</f>
        <v>Targeted Assistance</v>
      </c>
    </row>
    <row r="838" spans="1:5" x14ac:dyDescent="0.35">
      <c r="A838" s="28" t="s">
        <v>264</v>
      </c>
      <c r="B838" s="25" t="str">
        <f>"Madison City"</f>
        <v>Madison City</v>
      </c>
      <c r="C838" s="25" t="s">
        <v>1751</v>
      </c>
      <c r="D838" s="25" t="str">
        <f>"Mill Creek Elementary School"</f>
        <v>Mill Creek Elementary School</v>
      </c>
      <c r="E838" s="25" t="str">
        <f>"Targeted Assistance"</f>
        <v>Targeted Assistance</v>
      </c>
    </row>
    <row r="839" spans="1:5" x14ac:dyDescent="0.35">
      <c r="A839" s="28" t="s">
        <v>29</v>
      </c>
      <c r="B839" s="25" t="str">
        <f>"Midfield City"</f>
        <v>Midfield City</v>
      </c>
      <c r="C839" s="25" t="s">
        <v>1752</v>
      </c>
      <c r="D839" s="25" t="s">
        <v>1753</v>
      </c>
      <c r="E839" s="25" t="str">
        <f t="shared" ref="E839:E878" si="85">"Schoolwide"</f>
        <v>Schoolwide</v>
      </c>
    </row>
    <row r="840" spans="1:5" x14ac:dyDescent="0.35">
      <c r="A840" s="28" t="s">
        <v>29</v>
      </c>
      <c r="B840" s="25" t="str">
        <f>"Midfield City"</f>
        <v>Midfield City</v>
      </c>
      <c r="C840" s="25" t="s">
        <v>1754</v>
      </c>
      <c r="D840" s="25" t="s">
        <v>1755</v>
      </c>
      <c r="E840" s="25" t="str">
        <f t="shared" si="85"/>
        <v>Schoolwide</v>
      </c>
    </row>
    <row r="841" spans="1:5" x14ac:dyDescent="0.35">
      <c r="A841" s="28" t="s">
        <v>29</v>
      </c>
      <c r="B841" s="25" t="str">
        <f>"Midfield City"</f>
        <v>Midfield City</v>
      </c>
      <c r="C841" s="25" t="s">
        <v>1756</v>
      </c>
      <c r="D841" s="25" t="s">
        <v>1757</v>
      </c>
      <c r="E841" s="25" t="str">
        <f t="shared" si="85"/>
        <v>Schoolwide</v>
      </c>
    </row>
    <row r="842" spans="1:5" x14ac:dyDescent="0.35">
      <c r="A842" s="28" t="s">
        <v>268</v>
      </c>
      <c r="B842" s="25" t="str">
        <f>"Muscle Shoals City"</f>
        <v>Muscle Shoals City</v>
      </c>
      <c r="C842" s="25" t="s">
        <v>1758</v>
      </c>
      <c r="D842" s="25" t="s">
        <v>1759</v>
      </c>
      <c r="E842" s="25" t="str">
        <f t="shared" si="85"/>
        <v>Schoolwide</v>
      </c>
    </row>
    <row r="843" spans="1:5" x14ac:dyDescent="0.35">
      <c r="A843" s="28" t="s">
        <v>268</v>
      </c>
      <c r="B843" s="25" t="str">
        <f>"Muscle Shoals City"</f>
        <v>Muscle Shoals City</v>
      </c>
      <c r="C843" s="25" t="s">
        <v>1760</v>
      </c>
      <c r="D843" s="25" t="s">
        <v>1761</v>
      </c>
      <c r="E843" s="25" t="str">
        <f t="shared" si="85"/>
        <v>Schoolwide</v>
      </c>
    </row>
    <row r="844" spans="1:5" x14ac:dyDescent="0.35">
      <c r="A844" s="28" t="s">
        <v>268</v>
      </c>
      <c r="B844" s="25" t="str">
        <f>"Muscle Shoals City"</f>
        <v>Muscle Shoals City</v>
      </c>
      <c r="C844" s="25" t="s">
        <v>1762</v>
      </c>
      <c r="D844" s="25" t="s">
        <v>1763</v>
      </c>
      <c r="E844" s="25" t="str">
        <f t="shared" si="85"/>
        <v>Schoolwide</v>
      </c>
    </row>
    <row r="845" spans="1:5" x14ac:dyDescent="0.35">
      <c r="A845" s="28" t="s">
        <v>270</v>
      </c>
      <c r="B845" s="25" t="str">
        <f>"Pelham City"</f>
        <v>Pelham City</v>
      </c>
      <c r="C845" s="25" t="s">
        <v>1764</v>
      </c>
      <c r="D845" s="25" t="s">
        <v>1765</v>
      </c>
      <c r="E845" s="25" t="str">
        <f t="shared" si="85"/>
        <v>Schoolwide</v>
      </c>
    </row>
    <row r="846" spans="1:5" x14ac:dyDescent="0.35">
      <c r="A846" s="28" t="s">
        <v>270</v>
      </c>
      <c r="B846" s="25" t="str">
        <f>"Pelham City"</f>
        <v>Pelham City</v>
      </c>
      <c r="C846" s="25" t="s">
        <v>1766</v>
      </c>
      <c r="D846" s="25" t="s">
        <v>1767</v>
      </c>
      <c r="E846" s="25" t="str">
        <f t="shared" si="85"/>
        <v>Schoolwide</v>
      </c>
    </row>
    <row r="847" spans="1:5" x14ac:dyDescent="0.35">
      <c r="A847" s="28" t="s">
        <v>272</v>
      </c>
      <c r="B847" s="25" t="str">
        <f>"Oneonta City"</f>
        <v>Oneonta City</v>
      </c>
      <c r="C847" s="25" t="s">
        <v>1768</v>
      </c>
      <c r="D847" s="25" t="s">
        <v>1769</v>
      </c>
      <c r="E847" s="25" t="str">
        <f t="shared" si="85"/>
        <v>Schoolwide</v>
      </c>
    </row>
    <row r="848" spans="1:5" x14ac:dyDescent="0.35">
      <c r="A848" s="28" t="s">
        <v>272</v>
      </c>
      <c r="B848" s="25" t="str">
        <f>"Oneonta City"</f>
        <v>Oneonta City</v>
      </c>
      <c r="C848" s="25" t="s">
        <v>1770</v>
      </c>
      <c r="D848" s="25" t="s">
        <v>1771</v>
      </c>
      <c r="E848" s="25" t="str">
        <f t="shared" si="85"/>
        <v>Schoolwide</v>
      </c>
    </row>
    <row r="849" spans="1:5" x14ac:dyDescent="0.35">
      <c r="A849" s="28" t="s">
        <v>57</v>
      </c>
      <c r="B849" s="25" t="str">
        <f t="shared" ref="B849:B854" si="86">"Opelika City"</f>
        <v>Opelika City</v>
      </c>
      <c r="C849" s="25" t="s">
        <v>1772</v>
      </c>
      <c r="D849" s="25" t="s">
        <v>1773</v>
      </c>
      <c r="E849" s="25" t="str">
        <f t="shared" si="85"/>
        <v>Schoolwide</v>
      </c>
    </row>
    <row r="850" spans="1:5" x14ac:dyDescent="0.35">
      <c r="A850" s="28" t="s">
        <v>57</v>
      </c>
      <c r="B850" s="25" t="str">
        <f t="shared" si="86"/>
        <v>Opelika City</v>
      </c>
      <c r="C850" s="25" t="s">
        <v>1774</v>
      </c>
      <c r="D850" s="25" t="s">
        <v>1775</v>
      </c>
      <c r="E850" s="25" t="str">
        <f t="shared" si="85"/>
        <v>Schoolwide</v>
      </c>
    </row>
    <row r="851" spans="1:5" x14ac:dyDescent="0.35">
      <c r="A851" s="28" t="s">
        <v>57</v>
      </c>
      <c r="B851" s="25" t="str">
        <f t="shared" si="86"/>
        <v>Opelika City</v>
      </c>
      <c r="C851" s="25" t="s">
        <v>1776</v>
      </c>
      <c r="D851" s="25" t="s">
        <v>1777</v>
      </c>
      <c r="E851" s="25" t="str">
        <f t="shared" si="85"/>
        <v>Schoolwide</v>
      </c>
    </row>
    <row r="852" spans="1:5" x14ac:dyDescent="0.35">
      <c r="A852" s="28" t="s">
        <v>57</v>
      </c>
      <c r="B852" s="25" t="str">
        <f t="shared" si="86"/>
        <v>Opelika City</v>
      </c>
      <c r="C852" s="25" t="s">
        <v>1778</v>
      </c>
      <c r="D852" s="25" t="s">
        <v>1779</v>
      </c>
      <c r="E852" s="25" t="str">
        <f t="shared" si="85"/>
        <v>Schoolwide</v>
      </c>
    </row>
    <row r="853" spans="1:5" x14ac:dyDescent="0.35">
      <c r="A853" s="28" t="s">
        <v>57</v>
      </c>
      <c r="B853" s="25" t="str">
        <f t="shared" si="86"/>
        <v>Opelika City</v>
      </c>
      <c r="C853" s="25" t="s">
        <v>1780</v>
      </c>
      <c r="D853" s="25" t="s">
        <v>1781</v>
      </c>
      <c r="E853" s="25" t="str">
        <f t="shared" si="85"/>
        <v>Schoolwide</v>
      </c>
    </row>
    <row r="854" spans="1:5" x14ac:dyDescent="0.35">
      <c r="A854" s="28" t="s">
        <v>57</v>
      </c>
      <c r="B854" s="25" t="str">
        <f t="shared" si="86"/>
        <v>Opelika City</v>
      </c>
      <c r="C854" s="25" t="s">
        <v>1782</v>
      </c>
      <c r="D854" s="25" t="s">
        <v>1783</v>
      </c>
      <c r="E854" s="25" t="str">
        <f t="shared" si="85"/>
        <v>Schoolwide</v>
      </c>
    </row>
    <row r="855" spans="1:5" x14ac:dyDescent="0.35">
      <c r="A855" s="28" t="s">
        <v>131</v>
      </c>
      <c r="B855" s="25" t="str">
        <f>"Opp City"</f>
        <v>Opp City</v>
      </c>
      <c r="C855" s="25" t="s">
        <v>1784</v>
      </c>
      <c r="D855" s="25" t="s">
        <v>1785</v>
      </c>
      <c r="E855" s="25" t="str">
        <f t="shared" si="85"/>
        <v>Schoolwide</v>
      </c>
    </row>
    <row r="856" spans="1:5" x14ac:dyDescent="0.35">
      <c r="A856" s="28" t="s">
        <v>131</v>
      </c>
      <c r="B856" s="25" t="str">
        <f>"Opp City"</f>
        <v>Opp City</v>
      </c>
      <c r="C856" s="25" t="s">
        <v>1786</v>
      </c>
      <c r="D856" s="25" t="s">
        <v>1787</v>
      </c>
      <c r="E856" s="25" t="str">
        <f t="shared" si="85"/>
        <v>Schoolwide</v>
      </c>
    </row>
    <row r="857" spans="1:5" x14ac:dyDescent="0.35">
      <c r="A857" s="28" t="s">
        <v>159</v>
      </c>
      <c r="B857" s="25" t="str">
        <f>"Oxford City"</f>
        <v>Oxford City</v>
      </c>
      <c r="C857" s="25" t="s">
        <v>1788</v>
      </c>
      <c r="D857" s="25" t="s">
        <v>1789</v>
      </c>
      <c r="E857" s="25" t="str">
        <f t="shared" si="85"/>
        <v>Schoolwide</v>
      </c>
    </row>
    <row r="858" spans="1:5" x14ac:dyDescent="0.35">
      <c r="A858" s="28" t="s">
        <v>159</v>
      </c>
      <c r="B858" s="25" t="str">
        <f>"Oxford City"</f>
        <v>Oxford City</v>
      </c>
      <c r="C858" s="25" t="s">
        <v>1790</v>
      </c>
      <c r="D858" s="25" t="s">
        <v>1791</v>
      </c>
      <c r="E858" s="25" t="str">
        <f t="shared" si="85"/>
        <v>Schoolwide</v>
      </c>
    </row>
    <row r="859" spans="1:5" x14ac:dyDescent="0.35">
      <c r="A859" s="28" t="s">
        <v>159</v>
      </c>
      <c r="B859" s="25" t="str">
        <f>"Oxford City"</f>
        <v>Oxford City</v>
      </c>
      <c r="C859" s="25" t="s">
        <v>1792</v>
      </c>
      <c r="D859" s="25" t="s">
        <v>1793</v>
      </c>
      <c r="E859" s="25" t="str">
        <f t="shared" si="85"/>
        <v>Schoolwide</v>
      </c>
    </row>
    <row r="860" spans="1:5" x14ac:dyDescent="0.35">
      <c r="A860" s="28" t="s">
        <v>159</v>
      </c>
      <c r="B860" s="25" t="str">
        <f>"Oxford City"</f>
        <v>Oxford City</v>
      </c>
      <c r="C860" s="25" t="s">
        <v>1794</v>
      </c>
      <c r="D860" s="25" t="s">
        <v>1795</v>
      </c>
      <c r="E860" s="25" t="str">
        <f t="shared" si="85"/>
        <v>Schoolwide</v>
      </c>
    </row>
    <row r="861" spans="1:5" x14ac:dyDescent="0.35">
      <c r="A861" s="28" t="s">
        <v>63</v>
      </c>
      <c r="B861" s="25" t="str">
        <f>"Ozark City"</f>
        <v>Ozark City</v>
      </c>
      <c r="C861" s="25" t="s">
        <v>1796</v>
      </c>
      <c r="D861" s="25" t="s">
        <v>1797</v>
      </c>
      <c r="E861" s="25" t="str">
        <f t="shared" si="85"/>
        <v>Schoolwide</v>
      </c>
    </row>
    <row r="862" spans="1:5" x14ac:dyDescent="0.35">
      <c r="A862" s="28" t="s">
        <v>63</v>
      </c>
      <c r="B862" s="25" t="str">
        <f>"Ozark City"</f>
        <v>Ozark City</v>
      </c>
      <c r="C862" s="25" t="s">
        <v>1798</v>
      </c>
      <c r="D862" s="25" t="s">
        <v>1799</v>
      </c>
      <c r="E862" s="25" t="str">
        <f t="shared" si="85"/>
        <v>Schoolwide</v>
      </c>
    </row>
    <row r="863" spans="1:5" x14ac:dyDescent="0.35">
      <c r="A863" s="28" t="s">
        <v>63</v>
      </c>
      <c r="B863" s="25" t="str">
        <f>"Ozark City"</f>
        <v>Ozark City</v>
      </c>
      <c r="C863" s="25" t="s">
        <v>1800</v>
      </c>
      <c r="D863" s="25" t="s">
        <v>1801</v>
      </c>
      <c r="E863" s="25" t="str">
        <f t="shared" si="85"/>
        <v>Schoolwide</v>
      </c>
    </row>
    <row r="864" spans="1:5" x14ac:dyDescent="0.35">
      <c r="A864" s="28" t="s">
        <v>63</v>
      </c>
      <c r="B864" s="25" t="str">
        <f>"Ozark City"</f>
        <v>Ozark City</v>
      </c>
      <c r="C864" s="25" t="s">
        <v>1802</v>
      </c>
      <c r="D864" s="25" t="s">
        <v>1803</v>
      </c>
      <c r="E864" s="25" t="str">
        <f t="shared" si="85"/>
        <v>Schoolwide</v>
      </c>
    </row>
    <row r="865" spans="1:5" x14ac:dyDescent="0.35">
      <c r="A865" s="28" t="s">
        <v>274</v>
      </c>
      <c r="B865" s="25" t="str">
        <f>"Pell City"</f>
        <v>Pell City</v>
      </c>
      <c r="C865" s="25" t="s">
        <v>1804</v>
      </c>
      <c r="D865" s="25" t="s">
        <v>1805</v>
      </c>
      <c r="E865" s="25" t="str">
        <f t="shared" si="85"/>
        <v>Schoolwide</v>
      </c>
    </row>
    <row r="866" spans="1:5" x14ac:dyDescent="0.35">
      <c r="A866" s="28" t="s">
        <v>274</v>
      </c>
      <c r="B866" s="25" t="str">
        <f>"Pell City"</f>
        <v>Pell City</v>
      </c>
      <c r="C866" s="25" t="s">
        <v>1806</v>
      </c>
      <c r="D866" s="25" t="s">
        <v>1807</v>
      </c>
      <c r="E866" s="25" t="str">
        <f t="shared" si="85"/>
        <v>Schoolwide</v>
      </c>
    </row>
    <row r="867" spans="1:5" x14ac:dyDescent="0.35">
      <c r="A867" s="28" t="s">
        <v>274</v>
      </c>
      <c r="B867" s="25" t="str">
        <f>"Pell City"</f>
        <v>Pell City</v>
      </c>
      <c r="C867" s="25" t="s">
        <v>1808</v>
      </c>
      <c r="D867" s="25" t="s">
        <v>1809</v>
      </c>
      <c r="E867" s="25" t="str">
        <f t="shared" si="85"/>
        <v>Schoolwide</v>
      </c>
    </row>
    <row r="868" spans="1:5" x14ac:dyDescent="0.35">
      <c r="A868" s="28" t="s">
        <v>274</v>
      </c>
      <c r="B868" s="25" t="str">
        <f>"Pell City"</f>
        <v>Pell City</v>
      </c>
      <c r="C868" s="25" t="s">
        <v>1810</v>
      </c>
      <c r="D868" s="25" t="s">
        <v>1811</v>
      </c>
      <c r="E868" s="25" t="str">
        <f t="shared" si="85"/>
        <v>Schoolwide</v>
      </c>
    </row>
    <row r="869" spans="1:5" x14ac:dyDescent="0.35">
      <c r="A869" s="28" t="s">
        <v>53</v>
      </c>
      <c r="B869" s="25" t="str">
        <f t="shared" ref="B869:B876" si="87">"Phenix City"</f>
        <v>Phenix City</v>
      </c>
      <c r="C869" s="25" t="s">
        <v>1812</v>
      </c>
      <c r="D869" s="25" t="s">
        <v>1813</v>
      </c>
      <c r="E869" s="25" t="str">
        <f t="shared" si="85"/>
        <v>Schoolwide</v>
      </c>
    </row>
    <row r="870" spans="1:5" x14ac:dyDescent="0.35">
      <c r="A870" s="28" t="s">
        <v>53</v>
      </c>
      <c r="B870" s="25" t="str">
        <f t="shared" si="87"/>
        <v>Phenix City</v>
      </c>
      <c r="C870" s="25" t="s">
        <v>1814</v>
      </c>
      <c r="D870" s="25" t="s">
        <v>1815</v>
      </c>
      <c r="E870" s="25" t="str">
        <f t="shared" si="85"/>
        <v>Schoolwide</v>
      </c>
    </row>
    <row r="871" spans="1:5" x14ac:dyDescent="0.35">
      <c r="A871" s="28" t="s">
        <v>53</v>
      </c>
      <c r="B871" s="25" t="str">
        <f t="shared" si="87"/>
        <v>Phenix City</v>
      </c>
      <c r="C871" s="25" t="s">
        <v>1816</v>
      </c>
      <c r="D871" s="25" t="s">
        <v>1817</v>
      </c>
      <c r="E871" s="25" t="str">
        <f t="shared" si="85"/>
        <v>Schoolwide</v>
      </c>
    </row>
    <row r="872" spans="1:5" x14ac:dyDescent="0.35">
      <c r="A872" s="28" t="s">
        <v>53</v>
      </c>
      <c r="B872" s="25" t="str">
        <f t="shared" si="87"/>
        <v>Phenix City</v>
      </c>
      <c r="C872" s="25" t="s">
        <v>1818</v>
      </c>
      <c r="D872" s="25" t="s">
        <v>1819</v>
      </c>
      <c r="E872" s="25" t="str">
        <f t="shared" si="85"/>
        <v>Schoolwide</v>
      </c>
    </row>
    <row r="873" spans="1:5" x14ac:dyDescent="0.35">
      <c r="A873" s="28" t="s">
        <v>53</v>
      </c>
      <c r="B873" s="25" t="str">
        <f t="shared" si="87"/>
        <v>Phenix City</v>
      </c>
      <c r="C873" s="25" t="s">
        <v>1820</v>
      </c>
      <c r="D873" s="25" t="s">
        <v>1711</v>
      </c>
      <c r="E873" s="25" t="str">
        <f t="shared" si="85"/>
        <v>Schoolwide</v>
      </c>
    </row>
    <row r="874" spans="1:5" x14ac:dyDescent="0.35">
      <c r="A874" s="28" t="s">
        <v>53</v>
      </c>
      <c r="B874" s="25" t="str">
        <f t="shared" si="87"/>
        <v>Phenix City</v>
      </c>
      <c r="C874" s="25" t="s">
        <v>1821</v>
      </c>
      <c r="D874" s="25" t="s">
        <v>1822</v>
      </c>
      <c r="E874" s="25" t="str">
        <f t="shared" si="85"/>
        <v>Schoolwide</v>
      </c>
    </row>
    <row r="875" spans="1:5" x14ac:dyDescent="0.35">
      <c r="A875" s="28" t="s">
        <v>53</v>
      </c>
      <c r="B875" s="25" t="str">
        <f t="shared" si="87"/>
        <v>Phenix City</v>
      </c>
      <c r="C875" s="25" t="s">
        <v>1823</v>
      </c>
      <c r="D875" s="25" t="s">
        <v>1824</v>
      </c>
      <c r="E875" s="25" t="str">
        <f t="shared" si="85"/>
        <v>Schoolwide</v>
      </c>
    </row>
    <row r="876" spans="1:5" x14ac:dyDescent="0.35">
      <c r="A876" s="28" t="s">
        <v>53</v>
      </c>
      <c r="B876" s="25" t="str">
        <f t="shared" si="87"/>
        <v>Phenix City</v>
      </c>
      <c r="C876" s="25" t="s">
        <v>1825</v>
      </c>
      <c r="D876" s="25" t="s">
        <v>1826</v>
      </c>
      <c r="E876" s="25" t="str">
        <f t="shared" si="85"/>
        <v>Schoolwide</v>
      </c>
    </row>
    <row r="877" spans="1:5" x14ac:dyDescent="0.35">
      <c r="A877" s="28" t="s">
        <v>97</v>
      </c>
      <c r="B877" s="25" t="str">
        <f>"Piedmont City"</f>
        <v>Piedmont City</v>
      </c>
      <c r="C877" s="25" t="s">
        <v>1827</v>
      </c>
      <c r="D877" s="25" t="s">
        <v>1828</v>
      </c>
      <c r="E877" s="25" t="str">
        <f t="shared" si="85"/>
        <v>Schoolwide</v>
      </c>
    </row>
    <row r="878" spans="1:5" x14ac:dyDescent="0.35">
      <c r="A878" s="28" t="s">
        <v>97</v>
      </c>
      <c r="B878" s="25" t="str">
        <f>"Piedmont City"</f>
        <v>Piedmont City</v>
      </c>
      <c r="C878" s="25" t="s">
        <v>1829</v>
      </c>
      <c r="D878" s="25" t="s">
        <v>1830</v>
      </c>
      <c r="E878" s="25" t="str">
        <f t="shared" si="85"/>
        <v>Schoolwide</v>
      </c>
    </row>
    <row r="879" spans="1:5" x14ac:dyDescent="0.35">
      <c r="A879" s="28" t="s">
        <v>276</v>
      </c>
      <c r="B879" s="25" t="str">
        <f>"Pike Road City"</f>
        <v>Pike Road City</v>
      </c>
      <c r="C879" s="25" t="s">
        <v>1831</v>
      </c>
      <c r="D879" s="25" t="str">
        <f>"Pike Road Jr High School"</f>
        <v>Pike Road Jr High School</v>
      </c>
      <c r="E879" s="25" t="str">
        <f>"Targeted Assistance"</f>
        <v>Targeted Assistance</v>
      </c>
    </row>
    <row r="880" spans="1:5" x14ac:dyDescent="0.35">
      <c r="A880" s="28" t="s">
        <v>278</v>
      </c>
      <c r="B880" s="25" t="str">
        <f>"Saraland City"</f>
        <v>Saraland City</v>
      </c>
      <c r="C880" s="25" t="s">
        <v>1832</v>
      </c>
      <c r="D880" s="25" t="s">
        <v>1833</v>
      </c>
      <c r="E880" s="25" t="str">
        <f t="shared" ref="E880:E943" si="88">"Schoolwide"</f>
        <v>Schoolwide</v>
      </c>
    </row>
    <row r="881" spans="1:5" x14ac:dyDescent="0.35">
      <c r="A881" s="28" t="s">
        <v>278</v>
      </c>
      <c r="B881" s="25" t="str">
        <f>"Saraland City"</f>
        <v>Saraland City</v>
      </c>
      <c r="C881" s="25" t="s">
        <v>1834</v>
      </c>
      <c r="D881" s="25" t="s">
        <v>1835</v>
      </c>
      <c r="E881" s="25" t="str">
        <f t="shared" si="88"/>
        <v>Schoolwide</v>
      </c>
    </row>
    <row r="882" spans="1:5" x14ac:dyDescent="0.35">
      <c r="A882" s="28" t="s">
        <v>278</v>
      </c>
      <c r="B882" s="25" t="str">
        <f>"Saraland City"</f>
        <v>Saraland City</v>
      </c>
      <c r="C882" s="25" t="s">
        <v>1836</v>
      </c>
      <c r="D882" s="25" t="s">
        <v>1837</v>
      </c>
      <c r="E882" s="25" t="str">
        <f t="shared" si="88"/>
        <v>Schoolwide</v>
      </c>
    </row>
    <row r="883" spans="1:5" x14ac:dyDescent="0.35">
      <c r="A883" s="28" t="s">
        <v>278</v>
      </c>
      <c r="B883" s="25" t="str">
        <f>"Saraland City"</f>
        <v>Saraland City</v>
      </c>
      <c r="C883" s="25" t="s">
        <v>1838</v>
      </c>
      <c r="D883" s="25" t="s">
        <v>1839</v>
      </c>
      <c r="E883" s="25" t="str">
        <f t="shared" si="88"/>
        <v>Schoolwide</v>
      </c>
    </row>
    <row r="884" spans="1:5" x14ac:dyDescent="0.35">
      <c r="A884" s="28" t="s">
        <v>280</v>
      </c>
      <c r="B884" s="25" t="str">
        <f>"Roanoke City"</f>
        <v>Roanoke City</v>
      </c>
      <c r="C884" s="25" t="s">
        <v>1840</v>
      </c>
      <c r="D884" s="25" t="s">
        <v>1841</v>
      </c>
      <c r="E884" s="25" t="str">
        <f t="shared" si="88"/>
        <v>Schoolwide</v>
      </c>
    </row>
    <row r="885" spans="1:5" x14ac:dyDescent="0.35">
      <c r="A885" s="28" t="s">
        <v>280</v>
      </c>
      <c r="B885" s="25" t="str">
        <f>"Roanoke City"</f>
        <v>Roanoke City</v>
      </c>
      <c r="C885" s="25" t="s">
        <v>1842</v>
      </c>
      <c r="D885" s="25" t="s">
        <v>1843</v>
      </c>
      <c r="E885" s="25" t="str">
        <f t="shared" si="88"/>
        <v>Schoolwide</v>
      </c>
    </row>
    <row r="886" spans="1:5" x14ac:dyDescent="0.35">
      <c r="A886" s="28" t="s">
        <v>280</v>
      </c>
      <c r="B886" s="25" t="str">
        <f>"Roanoke City"</f>
        <v>Roanoke City</v>
      </c>
      <c r="C886" s="25" t="s">
        <v>1844</v>
      </c>
      <c r="D886" s="25" t="s">
        <v>1845</v>
      </c>
      <c r="E886" s="25" t="str">
        <f t="shared" si="88"/>
        <v>Schoolwide</v>
      </c>
    </row>
    <row r="887" spans="1:5" x14ac:dyDescent="0.35">
      <c r="A887" s="28" t="s">
        <v>49</v>
      </c>
      <c r="B887" s="25" t="str">
        <f>"Russellville City"</f>
        <v>Russellville City</v>
      </c>
      <c r="C887" s="25" t="s">
        <v>1846</v>
      </c>
      <c r="D887" s="25" t="s">
        <v>1847</v>
      </c>
      <c r="E887" s="25" t="str">
        <f t="shared" si="88"/>
        <v>Schoolwide</v>
      </c>
    </row>
    <row r="888" spans="1:5" x14ac:dyDescent="0.35">
      <c r="A888" s="28" t="s">
        <v>49</v>
      </c>
      <c r="B888" s="25" t="str">
        <f>"Russellville City"</f>
        <v>Russellville City</v>
      </c>
      <c r="C888" s="25" t="s">
        <v>1848</v>
      </c>
      <c r="D888" s="25" t="s">
        <v>1552</v>
      </c>
      <c r="E888" s="25" t="str">
        <f t="shared" si="88"/>
        <v>Schoolwide</v>
      </c>
    </row>
    <row r="889" spans="1:5" x14ac:dyDescent="0.35">
      <c r="A889" s="28" t="s">
        <v>282</v>
      </c>
      <c r="B889" s="25" t="str">
        <f>"Scottsboro City"</f>
        <v>Scottsboro City</v>
      </c>
      <c r="C889" s="25" t="s">
        <v>1849</v>
      </c>
      <c r="D889" s="25" t="s">
        <v>1850</v>
      </c>
      <c r="E889" s="25" t="str">
        <f t="shared" si="88"/>
        <v>Schoolwide</v>
      </c>
    </row>
    <row r="890" spans="1:5" x14ac:dyDescent="0.35">
      <c r="A890" s="28" t="s">
        <v>282</v>
      </c>
      <c r="B890" s="25" t="str">
        <f>"Scottsboro City"</f>
        <v>Scottsboro City</v>
      </c>
      <c r="C890" s="25" t="s">
        <v>1851</v>
      </c>
      <c r="D890" s="25" t="s">
        <v>1852</v>
      </c>
      <c r="E890" s="25" t="str">
        <f t="shared" si="88"/>
        <v>Schoolwide</v>
      </c>
    </row>
    <row r="891" spans="1:5" x14ac:dyDescent="0.35">
      <c r="A891" s="28" t="s">
        <v>282</v>
      </c>
      <c r="B891" s="25" t="str">
        <f>"Scottsboro City"</f>
        <v>Scottsboro City</v>
      </c>
      <c r="C891" s="25" t="s">
        <v>1853</v>
      </c>
      <c r="D891" s="25" t="s">
        <v>1854</v>
      </c>
      <c r="E891" s="25" t="str">
        <f t="shared" si="88"/>
        <v>Schoolwide</v>
      </c>
    </row>
    <row r="892" spans="1:5" x14ac:dyDescent="0.35">
      <c r="A892" s="28" t="s">
        <v>282</v>
      </c>
      <c r="B892" s="25" t="str">
        <f>"Scottsboro City"</f>
        <v>Scottsboro City</v>
      </c>
      <c r="C892" s="25" t="s">
        <v>1855</v>
      </c>
      <c r="D892" s="25" t="s">
        <v>1856</v>
      </c>
      <c r="E892" s="25" t="str">
        <f t="shared" si="88"/>
        <v>Schoolwide</v>
      </c>
    </row>
    <row r="893" spans="1:5" x14ac:dyDescent="0.35">
      <c r="A893" s="28" t="s">
        <v>21</v>
      </c>
      <c r="B893" s="25" t="str">
        <f t="shared" ref="B893:B901" si="89">"Selma City"</f>
        <v>Selma City</v>
      </c>
      <c r="C893" s="25" t="s">
        <v>1857</v>
      </c>
      <c r="D893" s="25" t="s">
        <v>1858</v>
      </c>
      <c r="E893" s="25" t="str">
        <f t="shared" si="88"/>
        <v>Schoolwide</v>
      </c>
    </row>
    <row r="894" spans="1:5" x14ac:dyDescent="0.35">
      <c r="A894" s="28" t="s">
        <v>21</v>
      </c>
      <c r="B894" s="25" t="str">
        <f t="shared" si="89"/>
        <v>Selma City</v>
      </c>
      <c r="C894" s="25" t="s">
        <v>1859</v>
      </c>
      <c r="D894" s="25" t="s">
        <v>1860</v>
      </c>
      <c r="E894" s="25" t="str">
        <f t="shared" si="88"/>
        <v>Schoolwide</v>
      </c>
    </row>
    <row r="895" spans="1:5" x14ac:dyDescent="0.35">
      <c r="A895" s="28" t="s">
        <v>21</v>
      </c>
      <c r="B895" s="25" t="str">
        <f t="shared" si="89"/>
        <v>Selma City</v>
      </c>
      <c r="C895" s="25" t="s">
        <v>1861</v>
      </c>
      <c r="D895" s="25" t="s">
        <v>1862</v>
      </c>
      <c r="E895" s="25" t="str">
        <f t="shared" si="88"/>
        <v>Schoolwide</v>
      </c>
    </row>
    <row r="896" spans="1:5" x14ac:dyDescent="0.35">
      <c r="A896" s="28" t="s">
        <v>21</v>
      </c>
      <c r="B896" s="25" t="str">
        <f t="shared" si="89"/>
        <v>Selma City</v>
      </c>
      <c r="C896" s="25" t="s">
        <v>1863</v>
      </c>
      <c r="D896" s="25" t="s">
        <v>1864</v>
      </c>
      <c r="E896" s="25" t="str">
        <f t="shared" si="88"/>
        <v>Schoolwide</v>
      </c>
    </row>
    <row r="897" spans="1:5" x14ac:dyDescent="0.35">
      <c r="A897" s="28" t="s">
        <v>21</v>
      </c>
      <c r="B897" s="25" t="str">
        <f t="shared" si="89"/>
        <v>Selma City</v>
      </c>
      <c r="C897" s="25" t="s">
        <v>1865</v>
      </c>
      <c r="D897" s="25" t="s">
        <v>1866</v>
      </c>
      <c r="E897" s="25" t="str">
        <f t="shared" si="88"/>
        <v>Schoolwide</v>
      </c>
    </row>
    <row r="898" spans="1:5" x14ac:dyDescent="0.35">
      <c r="A898" s="28" t="s">
        <v>21</v>
      </c>
      <c r="B898" s="25" t="str">
        <f t="shared" si="89"/>
        <v>Selma City</v>
      </c>
      <c r="C898" s="25" t="s">
        <v>1867</v>
      </c>
      <c r="D898" s="25" t="s">
        <v>1868</v>
      </c>
      <c r="E898" s="25" t="str">
        <f t="shared" si="88"/>
        <v>Schoolwide</v>
      </c>
    </row>
    <row r="899" spans="1:5" x14ac:dyDescent="0.35">
      <c r="A899" s="28" t="s">
        <v>21</v>
      </c>
      <c r="B899" s="25" t="str">
        <f t="shared" si="89"/>
        <v>Selma City</v>
      </c>
      <c r="C899" s="25" t="s">
        <v>1869</v>
      </c>
      <c r="D899" s="25" t="s">
        <v>1870</v>
      </c>
      <c r="E899" s="25" t="str">
        <f t="shared" si="88"/>
        <v>Schoolwide</v>
      </c>
    </row>
    <row r="900" spans="1:5" x14ac:dyDescent="0.35">
      <c r="A900" s="28" t="s">
        <v>21</v>
      </c>
      <c r="B900" s="25" t="str">
        <f t="shared" si="89"/>
        <v>Selma City</v>
      </c>
      <c r="C900" s="25" t="s">
        <v>1871</v>
      </c>
      <c r="D900" s="25" t="s">
        <v>1872</v>
      </c>
      <c r="E900" s="25" t="str">
        <f t="shared" si="88"/>
        <v>Schoolwide</v>
      </c>
    </row>
    <row r="901" spans="1:5" x14ac:dyDescent="0.35">
      <c r="A901" s="28" t="s">
        <v>21</v>
      </c>
      <c r="B901" s="25" t="str">
        <f t="shared" si="89"/>
        <v>Selma City</v>
      </c>
      <c r="C901" s="25" t="s">
        <v>1873</v>
      </c>
      <c r="D901" s="25" t="s">
        <v>1874</v>
      </c>
      <c r="E901" s="25" t="str">
        <f t="shared" si="88"/>
        <v>Schoolwide</v>
      </c>
    </row>
    <row r="902" spans="1:5" x14ac:dyDescent="0.35">
      <c r="A902" s="28" t="s">
        <v>181</v>
      </c>
      <c r="B902" s="25" t="str">
        <f>"Sheffield City"</f>
        <v>Sheffield City</v>
      </c>
      <c r="C902" s="25" t="s">
        <v>1875</v>
      </c>
      <c r="D902" s="25" t="s">
        <v>1876</v>
      </c>
      <c r="E902" s="25" t="str">
        <f t="shared" si="88"/>
        <v>Schoolwide</v>
      </c>
    </row>
    <row r="903" spans="1:5" x14ac:dyDescent="0.35">
      <c r="A903" s="28" t="s">
        <v>181</v>
      </c>
      <c r="B903" s="25" t="str">
        <f>"Sheffield City"</f>
        <v>Sheffield City</v>
      </c>
      <c r="C903" s="25" t="s">
        <v>1877</v>
      </c>
      <c r="D903" s="25" t="s">
        <v>1878</v>
      </c>
      <c r="E903" s="25" t="str">
        <f t="shared" si="88"/>
        <v>Schoolwide</v>
      </c>
    </row>
    <row r="904" spans="1:5" x14ac:dyDescent="0.35">
      <c r="A904" s="28" t="s">
        <v>181</v>
      </c>
      <c r="B904" s="25" t="str">
        <f>"Sheffield City"</f>
        <v>Sheffield City</v>
      </c>
      <c r="C904" s="25" t="s">
        <v>1879</v>
      </c>
      <c r="D904" s="25" t="s">
        <v>1880</v>
      </c>
      <c r="E904" s="25" t="str">
        <f t="shared" si="88"/>
        <v>Schoolwide</v>
      </c>
    </row>
    <row r="905" spans="1:5" x14ac:dyDescent="0.35">
      <c r="A905" s="28" t="s">
        <v>153</v>
      </c>
      <c r="B905" s="25" t="str">
        <f>"Sylacauga City"</f>
        <v>Sylacauga City</v>
      </c>
      <c r="C905" s="25" t="s">
        <v>1881</v>
      </c>
      <c r="D905" s="25" t="s">
        <v>1882</v>
      </c>
      <c r="E905" s="25" t="str">
        <f t="shared" si="88"/>
        <v>Schoolwide</v>
      </c>
    </row>
    <row r="906" spans="1:5" x14ac:dyDescent="0.35">
      <c r="A906" s="28" t="s">
        <v>153</v>
      </c>
      <c r="B906" s="25" t="str">
        <f>"Sylacauga City"</f>
        <v>Sylacauga City</v>
      </c>
      <c r="C906" s="25" t="s">
        <v>1883</v>
      </c>
      <c r="D906" s="25" t="s">
        <v>1884</v>
      </c>
      <c r="E906" s="25" t="str">
        <f t="shared" si="88"/>
        <v>Schoolwide</v>
      </c>
    </row>
    <row r="907" spans="1:5" x14ac:dyDescent="0.35">
      <c r="A907" s="28" t="s">
        <v>153</v>
      </c>
      <c r="B907" s="25" t="str">
        <f>"Sylacauga City"</f>
        <v>Sylacauga City</v>
      </c>
      <c r="C907" s="25" t="s">
        <v>1885</v>
      </c>
      <c r="D907" s="25" t="s">
        <v>1886</v>
      </c>
      <c r="E907" s="25" t="str">
        <f t="shared" si="88"/>
        <v>Schoolwide</v>
      </c>
    </row>
    <row r="908" spans="1:5" x14ac:dyDescent="0.35">
      <c r="A908" s="28" t="s">
        <v>11</v>
      </c>
      <c r="B908" s="25" t="str">
        <f t="shared" ref="B908:B913" si="90">"Talladega City"</f>
        <v>Talladega City</v>
      </c>
      <c r="C908" s="25" t="s">
        <v>1887</v>
      </c>
      <c r="D908" s="25" t="s">
        <v>1888</v>
      </c>
      <c r="E908" s="25" t="str">
        <f t="shared" si="88"/>
        <v>Schoolwide</v>
      </c>
    </row>
    <row r="909" spans="1:5" x14ac:dyDescent="0.35">
      <c r="A909" s="28" t="s">
        <v>11</v>
      </c>
      <c r="B909" s="25" t="str">
        <f t="shared" si="90"/>
        <v>Talladega City</v>
      </c>
      <c r="C909" s="25" t="s">
        <v>1889</v>
      </c>
      <c r="D909" s="25" t="s">
        <v>1890</v>
      </c>
      <c r="E909" s="25" t="str">
        <f t="shared" si="88"/>
        <v>Schoolwide</v>
      </c>
    </row>
    <row r="910" spans="1:5" x14ac:dyDescent="0.35">
      <c r="A910" s="28" t="s">
        <v>11</v>
      </c>
      <c r="B910" s="25" t="str">
        <f t="shared" si="90"/>
        <v>Talladega City</v>
      </c>
      <c r="C910" s="25" t="s">
        <v>1891</v>
      </c>
      <c r="D910" s="25" t="s">
        <v>1892</v>
      </c>
      <c r="E910" s="25" t="str">
        <f t="shared" si="88"/>
        <v>Schoolwide</v>
      </c>
    </row>
    <row r="911" spans="1:5" x14ac:dyDescent="0.35">
      <c r="A911" s="28" t="s">
        <v>11</v>
      </c>
      <c r="B911" s="25" t="str">
        <f t="shared" si="90"/>
        <v>Talladega City</v>
      </c>
      <c r="C911" s="25" t="s">
        <v>1893</v>
      </c>
      <c r="D911" s="25" t="s">
        <v>1894</v>
      </c>
      <c r="E911" s="25" t="str">
        <f t="shared" si="88"/>
        <v>Schoolwide</v>
      </c>
    </row>
    <row r="912" spans="1:5" x14ac:dyDescent="0.35">
      <c r="A912" s="28" t="s">
        <v>11</v>
      </c>
      <c r="B912" s="25" t="str">
        <f t="shared" si="90"/>
        <v>Talladega City</v>
      </c>
      <c r="C912" s="25" t="s">
        <v>1895</v>
      </c>
      <c r="D912" s="25" t="s">
        <v>1896</v>
      </c>
      <c r="E912" s="25" t="str">
        <f t="shared" si="88"/>
        <v>Schoolwide</v>
      </c>
    </row>
    <row r="913" spans="1:5" x14ac:dyDescent="0.35">
      <c r="A913" s="28" t="s">
        <v>11</v>
      </c>
      <c r="B913" s="25" t="str">
        <f t="shared" si="90"/>
        <v>Talladega City</v>
      </c>
      <c r="C913" s="25" t="s">
        <v>1897</v>
      </c>
      <c r="D913" s="25" t="s">
        <v>1898</v>
      </c>
      <c r="E913" s="25" t="str">
        <f t="shared" si="88"/>
        <v>Schoolwide</v>
      </c>
    </row>
    <row r="914" spans="1:5" x14ac:dyDescent="0.35">
      <c r="A914" s="28" t="s">
        <v>157</v>
      </c>
      <c r="B914" s="25" t="str">
        <f>"Tallassee City"</f>
        <v>Tallassee City</v>
      </c>
      <c r="C914" s="25" t="s">
        <v>1899</v>
      </c>
      <c r="D914" s="25" t="s">
        <v>1900</v>
      </c>
      <c r="E914" s="25" t="str">
        <f t="shared" si="88"/>
        <v>Schoolwide</v>
      </c>
    </row>
    <row r="915" spans="1:5" x14ac:dyDescent="0.35">
      <c r="A915" s="28" t="s">
        <v>157</v>
      </c>
      <c r="B915" s="25" t="str">
        <f>"Tallassee City"</f>
        <v>Tallassee City</v>
      </c>
      <c r="C915" s="25" t="s">
        <v>1901</v>
      </c>
      <c r="D915" s="25" t="s">
        <v>1902</v>
      </c>
      <c r="E915" s="25" t="str">
        <f t="shared" si="88"/>
        <v>Schoolwide</v>
      </c>
    </row>
    <row r="916" spans="1:5" x14ac:dyDescent="0.35">
      <c r="A916" s="28" t="s">
        <v>284</v>
      </c>
      <c r="B916" s="25" t="str">
        <f>"Satsuma City"</f>
        <v>Satsuma City</v>
      </c>
      <c r="C916" s="25" t="s">
        <v>1903</v>
      </c>
      <c r="D916" s="25" t="s">
        <v>1904</v>
      </c>
      <c r="E916" s="25" t="str">
        <f t="shared" si="88"/>
        <v>Schoolwide</v>
      </c>
    </row>
    <row r="917" spans="1:5" x14ac:dyDescent="0.35">
      <c r="A917" s="28" t="s">
        <v>284</v>
      </c>
      <c r="B917" s="25" t="str">
        <f>"Satsuma City"</f>
        <v>Satsuma City</v>
      </c>
      <c r="C917" s="25" t="s">
        <v>1905</v>
      </c>
      <c r="D917" s="25" t="s">
        <v>1906</v>
      </c>
      <c r="E917" s="25" t="str">
        <f t="shared" si="88"/>
        <v>Schoolwide</v>
      </c>
    </row>
    <row r="918" spans="1:5" x14ac:dyDescent="0.35">
      <c r="A918" s="28" t="s">
        <v>286</v>
      </c>
      <c r="B918" s="25" t="str">
        <f>"Tarrant City"</f>
        <v>Tarrant City</v>
      </c>
      <c r="C918" s="25" t="s">
        <v>1907</v>
      </c>
      <c r="D918" s="25" t="s">
        <v>1908</v>
      </c>
      <c r="E918" s="25" t="str">
        <f t="shared" si="88"/>
        <v>Schoolwide</v>
      </c>
    </row>
    <row r="919" spans="1:5" x14ac:dyDescent="0.35">
      <c r="A919" s="28" t="s">
        <v>286</v>
      </c>
      <c r="B919" s="25" t="str">
        <f>"Tarrant City"</f>
        <v>Tarrant City</v>
      </c>
      <c r="C919" s="25" t="s">
        <v>1909</v>
      </c>
      <c r="D919" s="25" t="s">
        <v>1910</v>
      </c>
      <c r="E919" s="25" t="str">
        <f t="shared" si="88"/>
        <v>Schoolwide</v>
      </c>
    </row>
    <row r="920" spans="1:5" x14ac:dyDescent="0.35">
      <c r="A920" s="28" t="s">
        <v>286</v>
      </c>
      <c r="B920" s="25" t="str">
        <f>"Tarrant City"</f>
        <v>Tarrant City</v>
      </c>
      <c r="C920" s="25" t="s">
        <v>1911</v>
      </c>
      <c r="D920" s="25" t="s">
        <v>1912</v>
      </c>
      <c r="E920" s="25" t="str">
        <f t="shared" si="88"/>
        <v>Schoolwide</v>
      </c>
    </row>
    <row r="921" spans="1:5" x14ac:dyDescent="0.35">
      <c r="A921" s="28" t="s">
        <v>67</v>
      </c>
      <c r="B921" s="25" t="str">
        <f>"Thomasville City"</f>
        <v>Thomasville City</v>
      </c>
      <c r="C921" s="25" t="s">
        <v>1913</v>
      </c>
      <c r="D921" s="25" t="s">
        <v>1914</v>
      </c>
      <c r="E921" s="25" t="str">
        <f t="shared" si="88"/>
        <v>Schoolwide</v>
      </c>
    </row>
    <row r="922" spans="1:5" x14ac:dyDescent="0.35">
      <c r="A922" s="28" t="s">
        <v>67</v>
      </c>
      <c r="B922" s="25" t="str">
        <f>"Thomasville City"</f>
        <v>Thomasville City</v>
      </c>
      <c r="C922" s="25" t="s">
        <v>1915</v>
      </c>
      <c r="D922" s="25" t="s">
        <v>1916</v>
      </c>
      <c r="E922" s="25" t="str">
        <f t="shared" si="88"/>
        <v>Schoolwide</v>
      </c>
    </row>
    <row r="923" spans="1:5" x14ac:dyDescent="0.35">
      <c r="A923" s="28" t="s">
        <v>67</v>
      </c>
      <c r="B923" s="25" t="str">
        <f>"Thomasville City"</f>
        <v>Thomasville City</v>
      </c>
      <c r="C923" s="25" t="s">
        <v>1917</v>
      </c>
      <c r="D923" s="25" t="s">
        <v>1918</v>
      </c>
      <c r="E923" s="25" t="str">
        <f t="shared" si="88"/>
        <v>Schoolwide</v>
      </c>
    </row>
    <row r="924" spans="1:5" x14ac:dyDescent="0.35">
      <c r="A924" s="28" t="s">
        <v>79</v>
      </c>
      <c r="B924" s="25" t="str">
        <f>"Troy City"</f>
        <v>Troy City</v>
      </c>
      <c r="C924" s="25" t="s">
        <v>1919</v>
      </c>
      <c r="D924" s="25" t="s">
        <v>1920</v>
      </c>
      <c r="E924" s="25" t="str">
        <f t="shared" si="88"/>
        <v>Schoolwide</v>
      </c>
    </row>
    <row r="925" spans="1:5" x14ac:dyDescent="0.35">
      <c r="A925" s="28" t="s">
        <v>79</v>
      </c>
      <c r="B925" s="25" t="str">
        <f>"Troy City"</f>
        <v>Troy City</v>
      </c>
      <c r="C925" s="25" t="s">
        <v>1921</v>
      </c>
      <c r="D925" s="25" t="s">
        <v>1922</v>
      </c>
      <c r="E925" s="25" t="str">
        <f t="shared" si="88"/>
        <v>Schoolwide</v>
      </c>
    </row>
    <row r="926" spans="1:5" x14ac:dyDescent="0.35">
      <c r="A926" s="28" t="s">
        <v>79</v>
      </c>
      <c r="B926" s="25" t="str">
        <f>"Troy City"</f>
        <v>Troy City</v>
      </c>
      <c r="C926" s="25" t="s">
        <v>1923</v>
      </c>
      <c r="D926" s="25" t="s">
        <v>1924</v>
      </c>
      <c r="E926" s="25" t="str">
        <f t="shared" si="88"/>
        <v>Schoolwide</v>
      </c>
    </row>
    <row r="927" spans="1:5" x14ac:dyDescent="0.35">
      <c r="A927" s="28" t="s">
        <v>288</v>
      </c>
      <c r="B927" s="25" t="str">
        <f t="shared" ref="B927:B939" si="91">"Tuscaloosa City"</f>
        <v>Tuscaloosa City</v>
      </c>
      <c r="C927" s="25" t="s">
        <v>1925</v>
      </c>
      <c r="D927" s="25" t="s">
        <v>1926</v>
      </c>
      <c r="E927" s="25" t="str">
        <f t="shared" si="88"/>
        <v>Schoolwide</v>
      </c>
    </row>
    <row r="928" spans="1:5" x14ac:dyDescent="0.35">
      <c r="A928" s="28" t="s">
        <v>288</v>
      </c>
      <c r="B928" s="25" t="str">
        <f t="shared" si="91"/>
        <v>Tuscaloosa City</v>
      </c>
      <c r="C928" s="25" t="s">
        <v>1927</v>
      </c>
      <c r="D928" s="25" t="s">
        <v>1928</v>
      </c>
      <c r="E928" s="25" t="str">
        <f t="shared" si="88"/>
        <v>Schoolwide</v>
      </c>
    </row>
    <row r="929" spans="1:5" x14ac:dyDescent="0.35">
      <c r="A929" s="28" t="s">
        <v>288</v>
      </c>
      <c r="B929" s="25" t="str">
        <f t="shared" si="91"/>
        <v>Tuscaloosa City</v>
      </c>
      <c r="C929" s="25" t="s">
        <v>1929</v>
      </c>
      <c r="D929" s="25" t="s">
        <v>821</v>
      </c>
      <c r="E929" s="25" t="str">
        <f t="shared" si="88"/>
        <v>Schoolwide</v>
      </c>
    </row>
    <row r="930" spans="1:5" x14ac:dyDescent="0.35">
      <c r="A930" s="28" t="s">
        <v>288</v>
      </c>
      <c r="B930" s="25" t="str">
        <f t="shared" si="91"/>
        <v>Tuscaloosa City</v>
      </c>
      <c r="C930" s="25" t="s">
        <v>1930</v>
      </c>
      <c r="D930" s="25" t="s">
        <v>1931</v>
      </c>
      <c r="E930" s="25" t="str">
        <f t="shared" si="88"/>
        <v>Schoolwide</v>
      </c>
    </row>
    <row r="931" spans="1:5" x14ac:dyDescent="0.35">
      <c r="A931" s="28" t="s">
        <v>288</v>
      </c>
      <c r="B931" s="25" t="str">
        <f t="shared" si="91"/>
        <v>Tuscaloosa City</v>
      </c>
      <c r="C931" s="25" t="s">
        <v>1932</v>
      </c>
      <c r="D931" s="25" t="s">
        <v>1933</v>
      </c>
      <c r="E931" s="25" t="str">
        <f t="shared" si="88"/>
        <v>Schoolwide</v>
      </c>
    </row>
    <row r="932" spans="1:5" x14ac:dyDescent="0.35">
      <c r="A932" s="28" t="s">
        <v>288</v>
      </c>
      <c r="B932" s="25" t="str">
        <f t="shared" si="91"/>
        <v>Tuscaloosa City</v>
      </c>
      <c r="C932" s="25" t="s">
        <v>1934</v>
      </c>
      <c r="D932" s="25" t="s">
        <v>1935</v>
      </c>
      <c r="E932" s="25" t="str">
        <f t="shared" si="88"/>
        <v>Schoolwide</v>
      </c>
    </row>
    <row r="933" spans="1:5" x14ac:dyDescent="0.35">
      <c r="A933" s="28" t="s">
        <v>288</v>
      </c>
      <c r="B933" s="25" t="str">
        <f t="shared" si="91"/>
        <v>Tuscaloosa City</v>
      </c>
      <c r="C933" s="25" t="s">
        <v>1936</v>
      </c>
      <c r="D933" s="25" t="s">
        <v>1937</v>
      </c>
      <c r="E933" s="25" t="str">
        <f t="shared" si="88"/>
        <v>Schoolwide</v>
      </c>
    </row>
    <row r="934" spans="1:5" x14ac:dyDescent="0.35">
      <c r="A934" s="28" t="s">
        <v>288</v>
      </c>
      <c r="B934" s="25" t="str">
        <f t="shared" si="91"/>
        <v>Tuscaloosa City</v>
      </c>
      <c r="C934" s="25" t="s">
        <v>1938</v>
      </c>
      <c r="D934" s="25" t="s">
        <v>1939</v>
      </c>
      <c r="E934" s="25" t="str">
        <f t="shared" si="88"/>
        <v>Schoolwide</v>
      </c>
    </row>
    <row r="935" spans="1:5" x14ac:dyDescent="0.35">
      <c r="A935" s="28" t="s">
        <v>288</v>
      </c>
      <c r="B935" s="25" t="str">
        <f t="shared" si="91"/>
        <v>Tuscaloosa City</v>
      </c>
      <c r="C935" s="25" t="s">
        <v>1940</v>
      </c>
      <c r="D935" s="25" t="s">
        <v>1941</v>
      </c>
      <c r="E935" s="25" t="str">
        <f t="shared" si="88"/>
        <v>Schoolwide</v>
      </c>
    </row>
    <row r="936" spans="1:5" x14ac:dyDescent="0.35">
      <c r="A936" s="28" t="s">
        <v>288</v>
      </c>
      <c r="B936" s="25" t="str">
        <f t="shared" si="91"/>
        <v>Tuscaloosa City</v>
      </c>
      <c r="C936" s="25" t="s">
        <v>1942</v>
      </c>
      <c r="D936" s="25" t="s">
        <v>741</v>
      </c>
      <c r="E936" s="25" t="str">
        <f t="shared" si="88"/>
        <v>Schoolwide</v>
      </c>
    </row>
    <row r="937" spans="1:5" x14ac:dyDescent="0.35">
      <c r="A937" s="28" t="s">
        <v>288</v>
      </c>
      <c r="B937" s="25" t="str">
        <f t="shared" si="91"/>
        <v>Tuscaloosa City</v>
      </c>
      <c r="C937" s="25" t="s">
        <v>1943</v>
      </c>
      <c r="D937" s="25" t="s">
        <v>1944</v>
      </c>
      <c r="E937" s="25" t="str">
        <f t="shared" si="88"/>
        <v>Schoolwide</v>
      </c>
    </row>
    <row r="938" spans="1:5" x14ac:dyDescent="0.35">
      <c r="A938" s="28" t="s">
        <v>288</v>
      </c>
      <c r="B938" s="25" t="str">
        <f t="shared" si="91"/>
        <v>Tuscaloosa City</v>
      </c>
      <c r="C938" s="25" t="s">
        <v>1945</v>
      </c>
      <c r="D938" s="25" t="s">
        <v>1946</v>
      </c>
      <c r="E938" s="25" t="str">
        <f t="shared" si="88"/>
        <v>Schoolwide</v>
      </c>
    </row>
    <row r="939" spans="1:5" x14ac:dyDescent="0.35">
      <c r="A939" s="28" t="s">
        <v>288</v>
      </c>
      <c r="B939" s="25" t="str">
        <f t="shared" si="91"/>
        <v>Tuscaloosa City</v>
      </c>
      <c r="C939" s="25" t="s">
        <v>1947</v>
      </c>
      <c r="D939" s="25" t="s">
        <v>1948</v>
      </c>
      <c r="E939" s="25" t="str">
        <f t="shared" si="88"/>
        <v>Schoolwide</v>
      </c>
    </row>
    <row r="940" spans="1:5" x14ac:dyDescent="0.35">
      <c r="A940" s="28" t="s">
        <v>161</v>
      </c>
      <c r="B940" s="25" t="str">
        <f>"Tuscumbia City"</f>
        <v>Tuscumbia City</v>
      </c>
      <c r="C940" s="25" t="s">
        <v>1949</v>
      </c>
      <c r="D940" s="25" t="s">
        <v>1950</v>
      </c>
      <c r="E940" s="25" t="str">
        <f t="shared" si="88"/>
        <v>Schoolwide</v>
      </c>
    </row>
    <row r="941" spans="1:5" x14ac:dyDescent="0.35">
      <c r="A941" s="28" t="s">
        <v>161</v>
      </c>
      <c r="B941" s="25" t="str">
        <f>"Tuscumbia City"</f>
        <v>Tuscumbia City</v>
      </c>
      <c r="C941" s="25" t="s">
        <v>1951</v>
      </c>
      <c r="D941" s="25" t="s">
        <v>1952</v>
      </c>
      <c r="E941" s="25" t="str">
        <f t="shared" si="88"/>
        <v>Schoolwide</v>
      </c>
    </row>
    <row r="942" spans="1:5" x14ac:dyDescent="0.35">
      <c r="A942" s="28" t="s">
        <v>161</v>
      </c>
      <c r="B942" s="25" t="str">
        <f>"Tuscumbia City"</f>
        <v>Tuscumbia City</v>
      </c>
      <c r="C942" s="25" t="s">
        <v>1953</v>
      </c>
      <c r="D942" s="25" t="s">
        <v>1954</v>
      </c>
      <c r="E942" s="25" t="str">
        <f t="shared" si="88"/>
        <v>Schoolwide</v>
      </c>
    </row>
    <row r="943" spans="1:5" x14ac:dyDescent="0.35">
      <c r="A943" s="28" t="s">
        <v>161</v>
      </c>
      <c r="B943" s="25" t="str">
        <f>"Tuscumbia City"</f>
        <v>Tuscumbia City</v>
      </c>
      <c r="C943" s="25" t="s">
        <v>1955</v>
      </c>
      <c r="D943" s="25" t="s">
        <v>1956</v>
      </c>
      <c r="E943" s="25" t="str">
        <f t="shared" si="88"/>
        <v>Schoolwide</v>
      </c>
    </row>
    <row r="944" spans="1:5" x14ac:dyDescent="0.35">
      <c r="A944" s="28" t="s">
        <v>292</v>
      </c>
      <c r="B944" s="25" t="str">
        <f>"Winfield City"</f>
        <v>Winfield City</v>
      </c>
      <c r="C944" s="25" t="s">
        <v>1957</v>
      </c>
      <c r="D944" s="25" t="s">
        <v>1958</v>
      </c>
      <c r="E944" s="25" t="str">
        <f t="shared" ref="E944:E950" si="92">"Schoolwide"</f>
        <v>Schoolwide</v>
      </c>
    </row>
    <row r="945" spans="1:5" x14ac:dyDescent="0.35">
      <c r="A945" s="28" t="s">
        <v>292</v>
      </c>
      <c r="B945" s="25" t="str">
        <f>"Winfield City"</f>
        <v>Winfield City</v>
      </c>
      <c r="C945" s="25" t="s">
        <v>1959</v>
      </c>
      <c r="D945" s="25" t="s">
        <v>1960</v>
      </c>
      <c r="E945" s="25" t="str">
        <f t="shared" si="92"/>
        <v>Schoolwide</v>
      </c>
    </row>
    <row r="946" spans="1:5" x14ac:dyDescent="0.35">
      <c r="A946" s="28" t="s">
        <v>129</v>
      </c>
      <c r="B946" s="25" t="str">
        <f>"Acceleration Day and Evening Academy"</f>
        <v>Acceleration Day and Evening Academy</v>
      </c>
      <c r="C946" s="25" t="s">
        <v>1961</v>
      </c>
      <c r="D946" s="25" t="s">
        <v>130</v>
      </c>
      <c r="E946" s="25" t="str">
        <f t="shared" si="92"/>
        <v>Schoolwide</v>
      </c>
    </row>
    <row r="947" spans="1:5" x14ac:dyDescent="0.35">
      <c r="A947" s="28" t="s">
        <v>171</v>
      </c>
      <c r="B947" s="25" t="str">
        <f>"University Charter School"</f>
        <v>University Charter School</v>
      </c>
      <c r="C947" s="25" t="s">
        <v>1962</v>
      </c>
      <c r="D947" s="25" t="s">
        <v>172</v>
      </c>
      <c r="E947" s="25" t="str">
        <f t="shared" si="92"/>
        <v>Schoolwide</v>
      </c>
    </row>
    <row r="948" spans="1:5" x14ac:dyDescent="0.35">
      <c r="A948" s="28" t="s">
        <v>39</v>
      </c>
      <c r="B948" s="25" t="str">
        <f>"LEAD Academy"</f>
        <v>LEAD Academy</v>
      </c>
      <c r="C948" s="25" t="s">
        <v>1963</v>
      </c>
      <c r="D948" s="25" t="s">
        <v>40</v>
      </c>
      <c r="E948" s="25" t="str">
        <f t="shared" si="92"/>
        <v>Schoolwide</v>
      </c>
    </row>
    <row r="949" spans="1:5" x14ac:dyDescent="0.35">
      <c r="A949" s="28" t="s">
        <v>19</v>
      </c>
      <c r="B949" s="25" t="str">
        <f>"Legacy Prep"</f>
        <v>Legacy Prep</v>
      </c>
      <c r="C949" s="25" t="s">
        <v>1964</v>
      </c>
      <c r="D949" s="25" t="s">
        <v>20</v>
      </c>
      <c r="E949" s="25" t="str">
        <f t="shared" si="92"/>
        <v>Schoolwide</v>
      </c>
    </row>
    <row r="950" spans="1:5" x14ac:dyDescent="0.35">
      <c r="A950" s="28" t="s">
        <v>9</v>
      </c>
      <c r="B950" s="25" t="str">
        <f>"i3 Academy"</f>
        <v>i3 Academy</v>
      </c>
      <c r="C950" s="25" t="s">
        <v>1965</v>
      </c>
      <c r="D950" s="25" t="s">
        <v>10</v>
      </c>
      <c r="E950" s="25" t="str">
        <f t="shared" si="92"/>
        <v>Schoolwide</v>
      </c>
    </row>
  </sheetData>
  <sortState xmlns:xlrd2="http://schemas.microsoft.com/office/spreadsheetml/2017/richdata2" ref="A657:E950">
    <sortCondition ref="A657:A950"/>
    <sortCondition ref="C657:C95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31CDDE83-1109-4128-AE7F-77DE1F7DD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57037A-1F01-4FB0-8EF4-2D90C9FD3C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9C7CCB-AB07-4AB8-89ED-5B86CF9701FB}"/>
</file>

<file path=customXml/itemProps4.xml><?xml version="1.0" encoding="utf-8"?>
<ds:datastoreItem xmlns:ds="http://schemas.openxmlformats.org/officeDocument/2006/customXml" ds:itemID="{9722E9CE-F855-4A07-8DB0-58D82D774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Questions</vt:lpstr>
      <vt:lpstr>#1</vt:lpstr>
      <vt:lpstr>#2</vt:lpstr>
      <vt:lpstr>#3</vt:lpstr>
      <vt:lpstr>#4</vt:lpstr>
      <vt:lpstr>#5</vt:lpstr>
      <vt:lpstr>#6</vt:lpstr>
      <vt:lpstr>#7</vt:lpstr>
      <vt:lpstr>#9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barryk</dc:creator>
  <cp:keywords/>
  <dc:description/>
  <cp:lastModifiedBy>Inayat, Sadia</cp:lastModifiedBy>
  <cp:revision/>
  <dcterms:created xsi:type="dcterms:W3CDTF">2021-07-30T15:34:07Z</dcterms:created>
  <dcterms:modified xsi:type="dcterms:W3CDTF">2021-08-12T20:09:14Z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Document_x0020_Type">
    <vt:lpwstr/>
  </property>
  <property fmtid="{D5CDD505-2E9C-101B-9397-08002B2CF9AE}" pid="4" name="Secondary_x0020_Subject">
    <vt:lpwstr/>
  </property>
  <property fmtid="{D5CDD505-2E9C-101B-9397-08002B2CF9AE}" pid="5" name="Catagory">
    <vt:lpwstr/>
  </property>
  <property fmtid="{D5CDD505-2E9C-101B-9397-08002B2CF9AE}" pid="6" name="Fiscal Year">
    <vt:lpwstr>14;#2021|a9b09679-9681-4840-9409-cc087bb840af</vt:lpwstr>
  </property>
  <property fmtid="{D5CDD505-2E9C-101B-9397-08002B2CF9AE}" pid="7" name="ProgramCFDA">
    <vt:lpwstr/>
  </property>
  <property fmtid="{D5CDD505-2E9C-101B-9397-08002B2CF9AE}" pid="8" name="OESE Office">
    <vt:lpwstr>10;#State and Grantee Relations|210e2a7a-39db-48db-922d-267cabacb1ad</vt:lpwstr>
  </property>
  <property fmtid="{D5CDD505-2E9C-101B-9397-08002B2CF9AE}" pid="9" name="Approval_x0020_Status">
    <vt:lpwstr/>
  </property>
  <property fmtid="{D5CDD505-2E9C-101B-9397-08002B2CF9AE}" pid="10" name="Secondary Subject">
    <vt:lpwstr/>
  </property>
  <property fmtid="{D5CDD505-2E9C-101B-9397-08002B2CF9AE}" pid="11" name="Approval Status">
    <vt:lpwstr/>
  </property>
  <property fmtid="{D5CDD505-2E9C-101B-9397-08002B2CF9AE}" pid="12" name="Document Type">
    <vt:lpwstr/>
  </property>
</Properties>
</file>